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\Desktop\"/>
    </mc:Choice>
  </mc:AlternateContent>
  <xr:revisionPtr revIDLastSave="0" documentId="8_{129D69DD-4FF1-AC4A-8561-81A3CF8CEBE8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Assumptions" sheetId="2" r:id="rId1"/>
    <sheet name="Model" sheetId="1" r:id="rId2"/>
    <sheet name="DCF" sheetId="4" r:id="rId3"/>
  </sheets>
  <calcPr calcId="191028" iterate="1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4" l="1"/>
  <c r="H20" i="4"/>
  <c r="I20" i="4"/>
  <c r="J20" i="4"/>
  <c r="M20" i="4"/>
  <c r="M17" i="4"/>
  <c r="E7" i="2"/>
  <c r="F7" i="2"/>
  <c r="G7" i="2"/>
  <c r="G7" i="1"/>
  <c r="H7" i="2"/>
  <c r="H7" i="1"/>
  <c r="I7" i="2"/>
  <c r="I7" i="1"/>
  <c r="J7" i="2"/>
  <c r="J7" i="1"/>
  <c r="K7" i="2"/>
  <c r="K7" i="1"/>
  <c r="D8" i="2"/>
  <c r="E8" i="2"/>
  <c r="F8" i="2"/>
  <c r="G8" i="2"/>
  <c r="H8" i="2"/>
  <c r="I8" i="2"/>
  <c r="J8" i="2"/>
  <c r="K8" i="2"/>
  <c r="K8" i="1"/>
  <c r="K9" i="1"/>
  <c r="D9" i="2"/>
  <c r="E9" i="2"/>
  <c r="F9" i="2"/>
  <c r="G9" i="2"/>
  <c r="H9" i="2"/>
  <c r="I9" i="2"/>
  <c r="J9" i="2"/>
  <c r="K9" i="2"/>
  <c r="K12" i="1"/>
  <c r="J10" i="4"/>
  <c r="M16" i="4"/>
  <c r="M18" i="4"/>
  <c r="G8" i="4"/>
  <c r="H8" i="4"/>
  <c r="I8" i="4"/>
  <c r="J8" i="4"/>
  <c r="H8" i="1"/>
  <c r="H9" i="1"/>
  <c r="H12" i="1"/>
  <c r="G10" i="4"/>
  <c r="I8" i="1"/>
  <c r="I9" i="1"/>
  <c r="I12" i="1"/>
  <c r="H10" i="4"/>
  <c r="J8" i="1"/>
  <c r="J9" i="1"/>
  <c r="J12" i="1"/>
  <c r="I10" i="4"/>
  <c r="D10" i="2"/>
  <c r="E10" i="2"/>
  <c r="F10" i="2"/>
  <c r="G10" i="2"/>
  <c r="H10" i="2"/>
  <c r="H13" i="1"/>
  <c r="H14" i="1"/>
  <c r="H16" i="1"/>
  <c r="G12" i="4"/>
  <c r="I10" i="2"/>
  <c r="I13" i="1"/>
  <c r="I14" i="1"/>
  <c r="I16" i="1"/>
  <c r="H12" i="4"/>
  <c r="J10" i="2"/>
  <c r="J13" i="1"/>
  <c r="J14" i="1"/>
  <c r="J16" i="1"/>
  <c r="I12" i="4"/>
  <c r="K10" i="2"/>
  <c r="K13" i="1"/>
  <c r="K14" i="1"/>
  <c r="K16" i="1"/>
  <c r="J12" i="4"/>
  <c r="G13" i="4"/>
  <c r="H13" i="4"/>
  <c r="I13" i="4"/>
  <c r="J13" i="4"/>
  <c r="G14" i="4"/>
  <c r="H14" i="4"/>
  <c r="I14" i="4"/>
  <c r="J14" i="4"/>
  <c r="D23" i="2"/>
  <c r="E23" i="2"/>
  <c r="F23" i="2"/>
  <c r="G23" i="2"/>
  <c r="H23" i="2"/>
  <c r="H92" i="1"/>
  <c r="G15" i="4"/>
  <c r="I23" i="2"/>
  <c r="I92" i="1"/>
  <c r="H15" i="4"/>
  <c r="J23" i="2"/>
  <c r="J92" i="1"/>
  <c r="I15" i="4"/>
  <c r="K23" i="2"/>
  <c r="K92" i="1"/>
  <c r="J15" i="4"/>
  <c r="E16" i="2"/>
  <c r="F16" i="2"/>
  <c r="G16" i="2"/>
  <c r="G36" i="1"/>
  <c r="H16" i="2"/>
  <c r="H36" i="1"/>
  <c r="H85" i="1"/>
  <c r="E17" i="2"/>
  <c r="F17" i="2"/>
  <c r="G17" i="2"/>
  <c r="G8" i="1"/>
  <c r="G37" i="1"/>
  <c r="H17" i="2"/>
  <c r="H37" i="1"/>
  <c r="H86" i="1"/>
  <c r="E18" i="2"/>
  <c r="F18" i="2"/>
  <c r="G18" i="2"/>
  <c r="G38" i="1"/>
  <c r="H18" i="2"/>
  <c r="H38" i="1"/>
  <c r="H87" i="1"/>
  <c r="E19" i="2"/>
  <c r="F19" i="2"/>
  <c r="G19" i="2"/>
  <c r="H19" i="2"/>
  <c r="H49" i="1"/>
  <c r="E20" i="2"/>
  <c r="F20" i="2"/>
  <c r="G20" i="2"/>
  <c r="H20" i="2"/>
  <c r="H50" i="1"/>
  <c r="G51" i="1"/>
  <c r="H51" i="1"/>
  <c r="G49" i="1"/>
  <c r="G50" i="1"/>
  <c r="H88" i="1"/>
  <c r="G16" i="4"/>
  <c r="I16" i="2"/>
  <c r="I36" i="1"/>
  <c r="I85" i="1"/>
  <c r="I17" i="2"/>
  <c r="I37" i="1"/>
  <c r="I86" i="1"/>
  <c r="I18" i="2"/>
  <c r="I38" i="1"/>
  <c r="I87" i="1"/>
  <c r="I19" i="2"/>
  <c r="I49" i="1"/>
  <c r="I20" i="2"/>
  <c r="I50" i="1"/>
  <c r="I51" i="1"/>
  <c r="I88" i="1"/>
  <c r="H16" i="4"/>
  <c r="J16" i="2"/>
  <c r="J36" i="1"/>
  <c r="J85" i="1"/>
  <c r="J17" i="2"/>
  <c r="J37" i="1"/>
  <c r="J86" i="1"/>
  <c r="J18" i="2"/>
  <c r="J38" i="1"/>
  <c r="J87" i="1"/>
  <c r="J19" i="2"/>
  <c r="J49" i="1"/>
  <c r="J20" i="2"/>
  <c r="J50" i="1"/>
  <c r="J51" i="1"/>
  <c r="J88" i="1"/>
  <c r="I16" i="4"/>
  <c r="K16" i="2"/>
  <c r="K36" i="1"/>
  <c r="K85" i="1"/>
  <c r="K17" i="2"/>
  <c r="K37" i="1"/>
  <c r="K86" i="1"/>
  <c r="K18" i="2"/>
  <c r="K38" i="1"/>
  <c r="K87" i="1"/>
  <c r="K19" i="2"/>
  <c r="K49" i="1"/>
  <c r="K20" i="2"/>
  <c r="K50" i="1"/>
  <c r="K51" i="1"/>
  <c r="K88" i="1"/>
  <c r="J16" i="4"/>
  <c r="G17" i="4"/>
  <c r="H17" i="4"/>
  <c r="I17" i="4"/>
  <c r="J17" i="4"/>
  <c r="G18" i="4"/>
  <c r="H18" i="4"/>
  <c r="I18" i="4"/>
  <c r="J18" i="4"/>
  <c r="G9" i="1"/>
  <c r="G12" i="1"/>
  <c r="G13" i="1"/>
  <c r="G14" i="1"/>
  <c r="G16" i="1"/>
  <c r="F12" i="4"/>
  <c r="F13" i="4"/>
  <c r="F14" i="4"/>
  <c r="G92" i="1"/>
  <c r="F15" i="4"/>
  <c r="G85" i="1"/>
  <c r="G86" i="1"/>
  <c r="G87" i="1"/>
  <c r="G88" i="1"/>
  <c r="F16" i="4"/>
  <c r="F17" i="4"/>
  <c r="F18" i="4"/>
  <c r="G21" i="4"/>
  <c r="G23" i="4"/>
  <c r="H21" i="4"/>
  <c r="I21" i="4"/>
  <c r="I23" i="4"/>
  <c r="J21" i="4"/>
  <c r="M21" i="4"/>
  <c r="F21" i="4"/>
  <c r="F10" i="4"/>
  <c r="F8" i="4"/>
  <c r="H31" i="2"/>
  <c r="I31" i="2"/>
  <c r="J31" i="2"/>
  <c r="H32" i="2"/>
  <c r="I32" i="2"/>
  <c r="J32" i="2"/>
  <c r="D25" i="2"/>
  <c r="E25" i="2"/>
  <c r="F25" i="2"/>
  <c r="G25" i="2"/>
  <c r="G100" i="1"/>
  <c r="D26" i="2"/>
  <c r="E26" i="2"/>
  <c r="F26" i="2"/>
  <c r="G26" i="2"/>
  <c r="G101" i="1"/>
  <c r="D27" i="2"/>
  <c r="E27" i="2"/>
  <c r="F27" i="2"/>
  <c r="G27" i="2"/>
  <c r="G102" i="1"/>
  <c r="G66" i="1"/>
  <c r="H25" i="2"/>
  <c r="H100" i="1"/>
  <c r="H26" i="2"/>
  <c r="H101" i="1"/>
  <c r="H27" i="2"/>
  <c r="H102" i="1"/>
  <c r="H66" i="1"/>
  <c r="G56" i="1"/>
  <c r="H56" i="1"/>
  <c r="I56" i="1"/>
  <c r="J56" i="1"/>
  <c r="K56" i="1"/>
  <c r="G61" i="1"/>
  <c r="H61" i="1"/>
  <c r="I61" i="1"/>
  <c r="J61" i="1"/>
  <c r="G62" i="1"/>
  <c r="H62" i="1"/>
  <c r="I62" i="1"/>
  <c r="J62" i="1"/>
  <c r="K62" i="1"/>
  <c r="G63" i="1"/>
  <c r="H63" i="1"/>
  <c r="I63" i="1"/>
  <c r="J63" i="1"/>
  <c r="K63" i="1"/>
  <c r="G64" i="1"/>
  <c r="H64" i="1"/>
  <c r="I64" i="1"/>
  <c r="J64" i="1"/>
  <c r="K64" i="1"/>
  <c r="G67" i="1"/>
  <c r="H67" i="1"/>
  <c r="I67" i="1"/>
  <c r="J67" i="1"/>
  <c r="K67" i="1"/>
  <c r="G68" i="1"/>
  <c r="H68" i="1"/>
  <c r="I68" i="1"/>
  <c r="J68" i="1"/>
  <c r="K68" i="1"/>
  <c r="H80" i="1"/>
  <c r="I80" i="1"/>
  <c r="J80" i="1"/>
  <c r="K80" i="1"/>
  <c r="H81" i="1"/>
  <c r="I81" i="1"/>
  <c r="J81" i="1"/>
  <c r="K81" i="1"/>
  <c r="G42" i="1"/>
  <c r="H42" i="1"/>
  <c r="I42" i="1"/>
  <c r="J42" i="1"/>
  <c r="K42" i="1"/>
  <c r="D24" i="2"/>
  <c r="E24" i="2"/>
  <c r="F24" i="2"/>
  <c r="G24" i="2"/>
  <c r="H24" i="2"/>
  <c r="H96" i="1"/>
  <c r="G96" i="1"/>
  <c r="G43" i="1"/>
  <c r="H43" i="1"/>
  <c r="I24" i="2"/>
  <c r="I96" i="1"/>
  <c r="I43" i="1"/>
  <c r="J24" i="2"/>
  <c r="J96" i="1"/>
  <c r="J43" i="1"/>
  <c r="K24" i="2"/>
  <c r="K96" i="1"/>
  <c r="K43" i="1"/>
  <c r="H97" i="1"/>
  <c r="I97" i="1"/>
  <c r="J97" i="1"/>
  <c r="K97" i="1"/>
  <c r="I25" i="2"/>
  <c r="I100" i="1"/>
  <c r="I26" i="2"/>
  <c r="I101" i="1"/>
  <c r="I27" i="2"/>
  <c r="I102" i="1"/>
  <c r="I66" i="1"/>
  <c r="J25" i="2"/>
  <c r="J100" i="1"/>
  <c r="J26" i="2"/>
  <c r="J101" i="1"/>
  <c r="J27" i="2"/>
  <c r="J102" i="1"/>
  <c r="J66" i="1"/>
  <c r="K25" i="2"/>
  <c r="K100" i="1"/>
  <c r="K26" i="2"/>
  <c r="K101" i="1"/>
  <c r="K27" i="2"/>
  <c r="K102" i="1"/>
  <c r="K66" i="1"/>
  <c r="H119" i="1"/>
  <c r="I119" i="1"/>
  <c r="G123" i="1"/>
  <c r="G124" i="1"/>
  <c r="G125" i="1"/>
  <c r="G55" i="1"/>
  <c r="H123" i="1"/>
  <c r="H124" i="1"/>
  <c r="H105" i="1"/>
  <c r="I124" i="1"/>
  <c r="I105" i="1"/>
  <c r="J124" i="1"/>
  <c r="J105" i="1"/>
  <c r="K124" i="1"/>
  <c r="K105" i="1"/>
  <c r="H126" i="1"/>
  <c r="I126" i="1"/>
  <c r="G105" i="1"/>
  <c r="G126" i="1"/>
  <c r="G127" i="1"/>
  <c r="G119" i="1"/>
  <c r="G116" i="1"/>
  <c r="G80" i="1"/>
  <c r="F106" i="1"/>
  <c r="F97" i="1"/>
  <c r="F89" i="1"/>
  <c r="F108" i="1"/>
  <c r="F110" i="1"/>
  <c r="G109" i="1"/>
  <c r="G81" i="1"/>
  <c r="E11" i="2"/>
  <c r="F11" i="2"/>
  <c r="D11" i="2"/>
  <c r="E5" i="1"/>
  <c r="F5" i="1"/>
  <c r="G5" i="1"/>
  <c r="E89" i="1"/>
  <c r="D89" i="1"/>
  <c r="E106" i="1"/>
  <c r="D106" i="1"/>
  <c r="E97" i="1"/>
  <c r="D97" i="1"/>
  <c r="E69" i="1"/>
  <c r="F69" i="1"/>
  <c r="E53" i="1"/>
  <c r="E58" i="1"/>
  <c r="F53" i="1"/>
  <c r="F58" i="1"/>
  <c r="E40" i="1"/>
  <c r="E44" i="1"/>
  <c r="F40" i="1"/>
  <c r="F44" i="1"/>
  <c r="E14" i="1"/>
  <c r="D14" i="1"/>
  <c r="F14" i="1"/>
  <c r="E9" i="1"/>
  <c r="D9" i="1"/>
  <c r="F9" i="1"/>
  <c r="E34" i="4"/>
  <c r="E35" i="4"/>
  <c r="E32" i="4"/>
  <c r="E31" i="4"/>
  <c r="I30" i="4"/>
  <c r="J30" i="4"/>
  <c r="G30" i="4"/>
  <c r="F30" i="4"/>
  <c r="L21" i="4"/>
  <c r="L20" i="4"/>
  <c r="E5" i="2"/>
  <c r="F5" i="2"/>
  <c r="G5" i="2"/>
  <c r="H5" i="2"/>
  <c r="I5" i="2"/>
  <c r="J5" i="2"/>
  <c r="K5" i="2"/>
  <c r="H125" i="1"/>
  <c r="H55" i="1"/>
  <c r="I123" i="1"/>
  <c r="I125" i="1"/>
  <c r="I55" i="1"/>
  <c r="J123" i="1"/>
  <c r="J125" i="1"/>
  <c r="J55" i="1"/>
  <c r="K123" i="1"/>
  <c r="K125" i="1"/>
  <c r="K55" i="1"/>
  <c r="M23" i="4"/>
  <c r="J23" i="4"/>
  <c r="H23" i="4"/>
  <c r="F23" i="4"/>
  <c r="J126" i="1"/>
  <c r="K32" i="2"/>
  <c r="K126" i="1"/>
  <c r="K31" i="2"/>
  <c r="K119" i="1"/>
  <c r="J119" i="1"/>
  <c r="K61" i="1"/>
  <c r="G97" i="1"/>
  <c r="G11" i="2"/>
  <c r="G20" i="1"/>
  <c r="F16" i="1"/>
  <c r="F22" i="1"/>
  <c r="D16" i="1"/>
  <c r="D22" i="1"/>
  <c r="E16" i="1"/>
  <c r="E22" i="1"/>
  <c r="F34" i="2"/>
  <c r="H5" i="1"/>
  <c r="F71" i="1"/>
  <c r="F73" i="1"/>
  <c r="E71" i="1"/>
  <c r="E73" i="1"/>
  <c r="D25" i="4"/>
  <c r="E30" i="4"/>
  <c r="H127" i="1"/>
  <c r="I127" i="1"/>
  <c r="J127" i="1"/>
  <c r="K127" i="1"/>
  <c r="H11" i="2"/>
  <c r="F25" i="1"/>
  <c r="F28" i="1"/>
  <c r="F28" i="2"/>
  <c r="F12" i="2"/>
  <c r="E25" i="1"/>
  <c r="E28" i="1"/>
  <c r="E28" i="2"/>
  <c r="E12" i="2"/>
  <c r="D25" i="1"/>
  <c r="D28" i="1"/>
  <c r="D28" i="2"/>
  <c r="D12" i="2"/>
  <c r="H20" i="1"/>
  <c r="I11" i="2"/>
  <c r="F6" i="4"/>
  <c r="I5" i="1"/>
  <c r="G6" i="4"/>
  <c r="G12" i="2"/>
  <c r="H12" i="2"/>
  <c r="I12" i="2"/>
  <c r="J12" i="2"/>
  <c r="K12" i="2"/>
  <c r="G28" i="2"/>
  <c r="H28" i="2"/>
  <c r="I28" i="2"/>
  <c r="J28" i="2"/>
  <c r="K28" i="2"/>
  <c r="J11" i="2"/>
  <c r="I20" i="1"/>
  <c r="H6" i="4"/>
  <c r="J5" i="1"/>
  <c r="K11" i="2"/>
  <c r="K20" i="1"/>
  <c r="J20" i="1"/>
  <c r="I6" i="4"/>
  <c r="K5" i="1"/>
  <c r="J6" i="4"/>
  <c r="D108" i="1"/>
  <c r="D110" i="1"/>
  <c r="D34" i="2"/>
  <c r="E108" i="1"/>
  <c r="E110" i="1"/>
  <c r="E34" i="2"/>
  <c r="G34" i="2"/>
  <c r="H34" i="2"/>
  <c r="I34" i="2"/>
  <c r="J34" i="2"/>
  <c r="K34" i="2"/>
  <c r="G18" i="1"/>
  <c r="H18" i="1"/>
  <c r="I18" i="1"/>
  <c r="J18" i="1"/>
  <c r="K18" i="1"/>
  <c r="G19" i="1"/>
  <c r="H19" i="1"/>
  <c r="I19" i="1"/>
  <c r="J19" i="1"/>
  <c r="K19" i="1"/>
  <c r="G22" i="1"/>
  <c r="H22" i="1"/>
  <c r="I22" i="1"/>
  <c r="J22" i="1"/>
  <c r="K22" i="1"/>
  <c r="G24" i="1"/>
  <c r="H24" i="1"/>
  <c r="I24" i="1"/>
  <c r="J24" i="1"/>
  <c r="K24" i="1"/>
  <c r="G25" i="1"/>
  <c r="H25" i="1"/>
  <c r="I25" i="1"/>
  <c r="J25" i="1"/>
  <c r="K25" i="1"/>
  <c r="G28" i="1"/>
  <c r="H28" i="1"/>
  <c r="I28" i="1"/>
  <c r="J28" i="1"/>
  <c r="K28" i="1"/>
  <c r="G35" i="1"/>
  <c r="H35" i="1"/>
  <c r="I35" i="1"/>
  <c r="J35" i="1"/>
  <c r="K35" i="1"/>
  <c r="G40" i="1"/>
  <c r="H40" i="1"/>
  <c r="I40" i="1"/>
  <c r="J40" i="1"/>
  <c r="K40" i="1"/>
  <c r="G44" i="1"/>
  <c r="H44" i="1"/>
  <c r="I44" i="1"/>
  <c r="J44" i="1"/>
  <c r="K44" i="1"/>
  <c r="G48" i="1"/>
  <c r="H48" i="1"/>
  <c r="I48" i="1"/>
  <c r="J48" i="1"/>
  <c r="K48" i="1"/>
  <c r="G53" i="1"/>
  <c r="H53" i="1"/>
  <c r="I53" i="1"/>
  <c r="J53" i="1"/>
  <c r="K53" i="1"/>
  <c r="G58" i="1"/>
  <c r="H58" i="1"/>
  <c r="I58" i="1"/>
  <c r="J58" i="1"/>
  <c r="K58" i="1"/>
  <c r="G65" i="1"/>
  <c r="H65" i="1"/>
  <c r="I65" i="1"/>
  <c r="J65" i="1"/>
  <c r="K65" i="1"/>
  <c r="G69" i="1"/>
  <c r="H69" i="1"/>
  <c r="I69" i="1"/>
  <c r="J69" i="1"/>
  <c r="K69" i="1"/>
  <c r="G71" i="1"/>
  <c r="H71" i="1"/>
  <c r="I71" i="1"/>
  <c r="J71" i="1"/>
  <c r="K71" i="1"/>
  <c r="G73" i="1"/>
  <c r="H73" i="1"/>
  <c r="I73" i="1"/>
  <c r="J73" i="1"/>
  <c r="K73" i="1"/>
  <c r="G79" i="1"/>
  <c r="H79" i="1"/>
  <c r="I79" i="1"/>
  <c r="J79" i="1"/>
  <c r="K79" i="1"/>
  <c r="G89" i="1"/>
  <c r="H89" i="1"/>
  <c r="I89" i="1"/>
  <c r="J89" i="1"/>
  <c r="K89" i="1"/>
  <c r="G103" i="1"/>
  <c r="H103" i="1"/>
  <c r="I103" i="1"/>
  <c r="J103" i="1"/>
  <c r="K103" i="1"/>
  <c r="G104" i="1"/>
  <c r="H104" i="1"/>
  <c r="I104" i="1"/>
  <c r="J104" i="1"/>
  <c r="K104" i="1"/>
  <c r="G106" i="1"/>
  <c r="H106" i="1"/>
  <c r="I106" i="1"/>
  <c r="J106" i="1"/>
  <c r="K106" i="1"/>
  <c r="G108" i="1"/>
  <c r="H108" i="1"/>
  <c r="I108" i="1"/>
  <c r="J108" i="1"/>
  <c r="K108" i="1"/>
  <c r="H109" i="1"/>
  <c r="I109" i="1"/>
  <c r="J109" i="1"/>
  <c r="K109" i="1"/>
  <c r="G110" i="1"/>
  <c r="H110" i="1"/>
  <c r="I110" i="1"/>
  <c r="J110" i="1"/>
  <c r="K110" i="1"/>
  <c r="G112" i="1"/>
  <c r="H112" i="1"/>
  <c r="I112" i="1"/>
  <c r="J112" i="1"/>
  <c r="K112" i="1"/>
  <c r="H116" i="1"/>
  <c r="I116" i="1"/>
  <c r="J116" i="1"/>
  <c r="K116" i="1"/>
  <c r="G117" i="1"/>
  <c r="H117" i="1"/>
  <c r="I117" i="1"/>
  <c r="J117" i="1"/>
  <c r="K117" i="1"/>
  <c r="G118" i="1"/>
  <c r="H118" i="1"/>
  <c r="I118" i="1"/>
  <c r="J118" i="1"/>
  <c r="K118" i="1"/>
  <c r="G120" i="1"/>
  <c r="H120" i="1"/>
  <c r="I120" i="1"/>
  <c r="J120" i="1"/>
  <c r="K120" i="1"/>
  <c r="G129" i="1"/>
  <c r="H129" i="1"/>
  <c r="I129" i="1"/>
  <c r="J129" i="1"/>
  <c r="K129" i="1"/>
  <c r="G131" i="1"/>
  <c r="H131" i="1"/>
  <c r="I131" i="1"/>
  <c r="J131" i="1"/>
  <c r="K131" i="1"/>
</calcChain>
</file>

<file path=xl/sharedStrings.xml><?xml version="1.0" encoding="utf-8"?>
<sst xmlns="http://schemas.openxmlformats.org/spreadsheetml/2006/main" count="166" uniqueCount="140">
  <si>
    <t>HISTORICAL FINANCIAL STATEMENTS</t>
  </si>
  <si>
    <t>PROJECTED FINANCIAL STATEMENTS</t>
  </si>
  <si>
    <t>($ in millions)</t>
  </si>
  <si>
    <t>Fiscal Year Ending December 31,</t>
  </si>
  <si>
    <t>Income Statement</t>
  </si>
  <si>
    <t>RADIO SHACK FINANCIAL MODEL</t>
  </si>
  <si>
    <t>Operating expenses</t>
  </si>
  <si>
    <t>Gross profit</t>
  </si>
  <si>
    <t>Cost of products sold</t>
  </si>
  <si>
    <t>Net sales</t>
  </si>
  <si>
    <t>Selling, general and administrative</t>
  </si>
  <si>
    <t>Depreciation and amortization</t>
  </si>
  <si>
    <t>Total operating expenses</t>
  </si>
  <si>
    <t>Operating income</t>
  </si>
  <si>
    <t>Interest income</t>
  </si>
  <si>
    <t>Interest expense</t>
  </si>
  <si>
    <t>Other income, net</t>
  </si>
  <si>
    <t>Income before income taxes</t>
  </si>
  <si>
    <t>Provision for income taxes</t>
  </si>
  <si>
    <t>Income before cumulative effect of change in accounting principle</t>
  </si>
  <si>
    <t>Cumulative effect of change in accounting principle</t>
  </si>
  <si>
    <t>Net income</t>
  </si>
  <si>
    <t>Balance Sheet</t>
  </si>
  <si>
    <t>Assets</t>
  </si>
  <si>
    <t>Current Assets:</t>
  </si>
  <si>
    <t>Cash and cash equivalents</t>
  </si>
  <si>
    <t>Accounts and notes receivable</t>
  </si>
  <si>
    <t>Inventories</t>
  </si>
  <si>
    <t>Other current assets</t>
  </si>
  <si>
    <t>Total current assets</t>
  </si>
  <si>
    <t>Property plant and equipment, net</t>
  </si>
  <si>
    <t>Other assets, net</t>
  </si>
  <si>
    <t>Total assets</t>
  </si>
  <si>
    <t>Liabilities and Stockholders' Equity</t>
  </si>
  <si>
    <t>Current liabilities:</t>
  </si>
  <si>
    <t>Short-term debt</t>
  </si>
  <si>
    <t>Accounts payable</t>
  </si>
  <si>
    <t>Accrued expenses and other current liabilities</t>
  </si>
  <si>
    <t>Income taxes payable</t>
  </si>
  <si>
    <t>Total current liabilities</t>
  </si>
  <si>
    <t>Long-term debt</t>
  </si>
  <si>
    <t>Other non-current liabilities</t>
  </si>
  <si>
    <t>Total liabilities</t>
  </si>
  <si>
    <t>Series A Preferred</t>
  </si>
  <si>
    <t>Series B Preferred</t>
  </si>
  <si>
    <t>Common stock</t>
  </si>
  <si>
    <t>Additional paid-in capital</t>
  </si>
  <si>
    <t>Retained earnings</t>
  </si>
  <si>
    <t>Treasury stock</t>
  </si>
  <si>
    <t>Unearned compensation</t>
  </si>
  <si>
    <t>Accumulated other comprehensive income</t>
  </si>
  <si>
    <t>Total stockholders' equity</t>
  </si>
  <si>
    <t>Total liabilties and stockholders' equity</t>
  </si>
  <si>
    <t>Check</t>
  </si>
  <si>
    <t>Stockholders' equity:</t>
  </si>
  <si>
    <t>Cash Flow</t>
  </si>
  <si>
    <t>Cash flow from operating activities:</t>
  </si>
  <si>
    <t>Deferred income taxes and other items</t>
  </si>
  <si>
    <t>Provision for credit losses and bad debts</t>
  </si>
  <si>
    <t>Changing in operating assets and liabilities:</t>
  </si>
  <si>
    <t>Accounts and note receivable</t>
  </si>
  <si>
    <t>Accounts payable, accrued expenses and income taxes payable and other</t>
  </si>
  <si>
    <t>Net cash provided by operating activities</t>
  </si>
  <si>
    <t>Cash flow from investing activities:</t>
  </si>
  <si>
    <t>Additions to property, plant and equipment</t>
  </si>
  <si>
    <t>Proceeds from sale of property, plant and equipment</t>
  </si>
  <si>
    <t>Proceeds from sale of installation subsidiary</t>
  </si>
  <si>
    <t>Purchase of kiosk business</t>
  </si>
  <si>
    <t>Other investing activities</t>
  </si>
  <si>
    <t>Net cash provided by (used in) investing activities</t>
  </si>
  <si>
    <t>Cash flow from financing activities:</t>
  </si>
  <si>
    <t>Purchases of treasury stock</t>
  </si>
  <si>
    <t>Sale of treasury stock to employee benefit plans</t>
  </si>
  <si>
    <t>Proceeds from exercise of stock options</t>
  </si>
  <si>
    <t>Payments of dividends</t>
  </si>
  <si>
    <t>Changes in short-term borrowings, net</t>
  </si>
  <si>
    <t>Repayments of long-term borrowings</t>
  </si>
  <si>
    <t>Net cash used in financing activities</t>
  </si>
  <si>
    <t>Net (decrease)/increase in cash and cash equivalents</t>
  </si>
  <si>
    <t>Cash and cash equivalents, beginning of period</t>
  </si>
  <si>
    <t>Cash and cash equivalents, end of period</t>
  </si>
  <si>
    <t>Model Assumptions</t>
  </si>
  <si>
    <t>Net sales growth rate</t>
  </si>
  <si>
    <t>Cost of products sold as % of net sales</t>
  </si>
  <si>
    <t>SG&amp;A as % of net sales</t>
  </si>
  <si>
    <t>Other income</t>
  </si>
  <si>
    <t>Tax rate</t>
  </si>
  <si>
    <t>Income statement drivers/assumptions</t>
  </si>
  <si>
    <t>Balance sheet drivers/assumptions</t>
  </si>
  <si>
    <t>Days of accounts and notes receivable</t>
  </si>
  <si>
    <t>Days of inventory</t>
  </si>
  <si>
    <t>Other current assets as % of net sales</t>
  </si>
  <si>
    <t>Days of accounts payable</t>
  </si>
  <si>
    <t>Accrued expenses and other current liabilities as % of sales</t>
  </si>
  <si>
    <t>Cash flow drivers/assumptions</t>
  </si>
  <si>
    <t>Depreciation and amortization as % of sales</t>
  </si>
  <si>
    <t>Additions to property, plant &amp; equipment as % of sales</t>
  </si>
  <si>
    <t>Payments of dividends as % of net income</t>
  </si>
  <si>
    <t>Debt and Interest Schedule</t>
  </si>
  <si>
    <t>(Paydown) / Drawdown</t>
  </si>
  <si>
    <t>Interest Rate</t>
  </si>
  <si>
    <t>Interest Expense</t>
  </si>
  <si>
    <t>Total Interest Expense</t>
  </si>
  <si>
    <t>Interest Earned on Cash</t>
  </si>
  <si>
    <t>Debt and interest drivers/assumptions</t>
  </si>
  <si>
    <t>Long-term debt blended interest rate</t>
  </si>
  <si>
    <t>Long-term debt maturities</t>
  </si>
  <si>
    <t>Short-term (revolver) interest rate</t>
  </si>
  <si>
    <t>Short-term debt (Revolving Credit Facility)</t>
  </si>
  <si>
    <t>Beginning Balance</t>
  </si>
  <si>
    <t>Ending Balance</t>
  </si>
  <si>
    <t>Interest earned on cash</t>
  </si>
  <si>
    <t>Cash flow before short-term debt (revolver)</t>
  </si>
  <si>
    <t>Discount rate</t>
  </si>
  <si>
    <t>Terminal multiple</t>
  </si>
  <si>
    <t>RADIO SHACK Model</t>
  </si>
  <si>
    <t xml:space="preserve">Fiscal Year Ending December 31, </t>
  </si>
  <si>
    <t>EBIT</t>
  </si>
  <si>
    <t>Less:  Taxes</t>
  </si>
  <si>
    <t>Tax Rate</t>
  </si>
  <si>
    <t>Debt-free earnings</t>
  </si>
  <si>
    <t>Less:  capital expenditures</t>
  </si>
  <si>
    <t>Less:  (increase)/decrease in working capital</t>
  </si>
  <si>
    <t>Plus:  depreciation and amortization</t>
  </si>
  <si>
    <t>Net debt-free cash flow</t>
  </si>
  <si>
    <t>Discount period</t>
  </si>
  <si>
    <t>Discount factor</t>
  </si>
  <si>
    <t>Valuation Date</t>
  </si>
  <si>
    <t>Present value fo debt-free cash flow</t>
  </si>
  <si>
    <t>Terminal Value</t>
  </si>
  <si>
    <t>EBITDA</t>
  </si>
  <si>
    <t>2010 EBITDA</t>
  </si>
  <si>
    <t>Terminal value</t>
  </si>
  <si>
    <t>PV of terminal value</t>
  </si>
  <si>
    <t>Present value of enterprise</t>
  </si>
  <si>
    <t>DCF Sensitivity analysis</t>
  </si>
  <si>
    <t>Discount Rate</t>
  </si>
  <si>
    <t>DCF Assumptions</t>
  </si>
  <si>
    <t>Discounted Cash Flow Analysis</t>
  </si>
  <si>
    <t>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</si>
</sst>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\A"/>
    <numFmt numFmtId="165" formatCode="0000\P"/>
    <numFmt numFmtId="166" formatCode="&quot;$&quot;#,##0.0_);\(&quot;$&quot;#,##0.0\)"/>
    <numFmt numFmtId="167" formatCode="#,##0.0_);\(#,##0.0\)"/>
    <numFmt numFmtId="168" formatCode="0.0%"/>
    <numFmt numFmtId="169" formatCode="0.0\x"/>
  </numFmts>
  <fonts count="16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u/>
      <sz val="10"/>
      <name val="Times New Roman"/>
      <family val="1"/>
    </font>
    <font>
      <sz val="8"/>
      <name val="Arial"/>
      <family val="2"/>
    </font>
    <font>
      <b/>
      <i/>
      <sz val="10"/>
      <name val="Times New Roman"/>
      <family val="1"/>
    </font>
    <font>
      <u/>
      <sz val="10"/>
      <color indexed="12"/>
      <name val="Times New Roman"/>
      <family val="1"/>
    </font>
    <font>
      <sz val="10"/>
      <color indexed="12"/>
      <name val="Times New Roman"/>
      <family val="1"/>
    </font>
    <font>
      <b/>
      <sz val="10"/>
      <name val="Arial"/>
      <family val="2"/>
    </font>
    <font>
      <b/>
      <sz val="10"/>
      <color indexed="12"/>
      <name val="Times New Roman"/>
      <family val="1"/>
    </font>
    <font>
      <sz val="10"/>
      <color indexed="9"/>
      <name val="Times New Roman"/>
      <family val="1"/>
    </font>
    <font>
      <sz val="10"/>
      <color theme="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 style="medium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DashDot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0" xfId="0" applyFont="1"/>
    <xf numFmtId="0" fontId="5" fillId="0" borderId="0" xfId="0" applyFont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5" fillId="0" borderId="1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164" fontId="6" fillId="0" borderId="0" xfId="0" applyNumberFormat="1" applyFont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0" xfId="0" applyFont="1"/>
    <xf numFmtId="166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166" fontId="2" fillId="0" borderId="0" xfId="0" applyNumberFormat="1" applyFont="1"/>
    <xf numFmtId="0" fontId="2" fillId="0" borderId="0" xfId="0" applyFont="1" applyAlignment="1">
      <alignment horizontal="left" indent="1"/>
    </xf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left" indent="2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/>
    </xf>
    <xf numFmtId="167" fontId="2" fillId="0" borderId="0" xfId="0" applyNumberFormat="1" applyFont="1"/>
    <xf numFmtId="167" fontId="7" fillId="0" borderId="0" xfId="0" applyNumberFormat="1" applyFont="1"/>
    <xf numFmtId="0" fontId="4" fillId="0" borderId="0" xfId="0" applyFont="1" applyAlignment="1">
      <alignment horizontal="left" indent="1"/>
    </xf>
    <xf numFmtId="166" fontId="4" fillId="0" borderId="0" xfId="0" applyNumberFormat="1" applyFont="1"/>
    <xf numFmtId="0" fontId="5" fillId="0" borderId="0" xfId="0" applyFont="1" applyAlignment="1">
      <alignment wrapText="1"/>
    </xf>
    <xf numFmtId="0" fontId="9" fillId="0" borderId="0" xfId="0" applyFont="1"/>
    <xf numFmtId="168" fontId="2" fillId="0" borderId="0" xfId="1" applyNumberFormat="1" applyFont="1"/>
    <xf numFmtId="167" fontId="2" fillId="0" borderId="0" xfId="0" applyNumberFormat="1" applyFont="1" applyFill="1"/>
    <xf numFmtId="0" fontId="2" fillId="0" borderId="0" xfId="0" applyFont="1" applyBorder="1"/>
    <xf numFmtId="0" fontId="5" fillId="0" borderId="0" xfId="0" applyFont="1" applyBorder="1" applyAlignment="1">
      <alignment horizontal="centerContinuous"/>
    </xf>
    <xf numFmtId="164" fontId="6" fillId="0" borderId="0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centerContinuous"/>
    </xf>
    <xf numFmtId="165" fontId="5" fillId="0" borderId="1" xfId="0" applyNumberFormat="1" applyFont="1" applyBorder="1" applyAlignment="1">
      <alignment horizontal="centerContinuous"/>
    </xf>
    <xf numFmtId="0" fontId="5" fillId="0" borderId="0" xfId="0" applyFont="1" applyBorder="1"/>
    <xf numFmtId="0" fontId="6" fillId="0" borderId="0" xfId="0" applyFont="1" applyBorder="1"/>
    <xf numFmtId="167" fontId="2" fillId="0" borderId="0" xfId="0" applyNumberFormat="1" applyFont="1" applyBorder="1"/>
    <xf numFmtId="39" fontId="2" fillId="0" borderId="0" xfId="0" applyNumberFormat="1" applyFont="1" applyBorder="1"/>
    <xf numFmtId="166" fontId="2" fillId="0" borderId="0" xfId="0" applyNumberFormat="1" applyFont="1" applyBorder="1"/>
    <xf numFmtId="167" fontId="7" fillId="0" borderId="0" xfId="0" applyNumberFormat="1" applyFont="1" applyBorder="1"/>
    <xf numFmtId="166" fontId="5" fillId="0" borderId="0" xfId="0" applyNumberFormat="1" applyFont="1" applyBorder="1"/>
    <xf numFmtId="0" fontId="6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/>
    <xf numFmtId="0" fontId="2" fillId="0" borderId="7" xfId="0" applyFont="1" applyBorder="1"/>
    <xf numFmtId="166" fontId="2" fillId="0" borderId="7" xfId="0" applyNumberFormat="1" applyFont="1" applyBorder="1"/>
    <xf numFmtId="169" fontId="7" fillId="0" borderId="7" xfId="0" applyNumberFormat="1" applyFont="1" applyBorder="1"/>
    <xf numFmtId="166" fontId="5" fillId="0" borderId="7" xfId="0" applyNumberFormat="1" applyFont="1" applyBorder="1"/>
    <xf numFmtId="39" fontId="2" fillId="0" borderId="7" xfId="0" applyNumberFormat="1" applyFont="1" applyBorder="1"/>
    <xf numFmtId="0" fontId="2" fillId="0" borderId="8" xfId="0" applyFont="1" applyBorder="1"/>
    <xf numFmtId="166" fontId="5" fillId="0" borderId="9" xfId="0" applyNumberFormat="1" applyFont="1" applyBorder="1"/>
    <xf numFmtId="0" fontId="2" fillId="2" borderId="10" xfId="0" applyFont="1" applyFill="1" applyBorder="1"/>
    <xf numFmtId="167" fontId="5" fillId="2" borderId="11" xfId="0" applyNumberFormat="1" applyFont="1" applyFill="1" applyBorder="1"/>
    <xf numFmtId="0" fontId="5" fillId="2" borderId="12" xfId="0" applyFont="1" applyFill="1" applyBorder="1"/>
    <xf numFmtId="168" fontId="11" fillId="0" borderId="7" xfId="0" applyNumberFormat="1" applyFont="1" applyBorder="1"/>
    <xf numFmtId="0" fontId="5" fillId="0" borderId="4" xfId="0" applyFont="1" applyBorder="1" applyAlignment="1">
      <alignment horizontal="centerContinuous"/>
    </xf>
    <xf numFmtId="0" fontId="2" fillId="0" borderId="13" xfId="0" applyFont="1" applyBorder="1" applyAlignment="1">
      <alignment horizontal="centerContinuous"/>
    </xf>
    <xf numFmtId="169" fontId="5" fillId="0" borderId="8" xfId="0" applyNumberFormat="1" applyFont="1" applyBorder="1"/>
    <xf numFmtId="169" fontId="5" fillId="0" borderId="1" xfId="0" applyNumberFormat="1" applyFont="1" applyBorder="1"/>
    <xf numFmtId="169" fontId="13" fillId="0" borderId="1" xfId="0" applyNumberFormat="1" applyFont="1" applyBorder="1"/>
    <xf numFmtId="169" fontId="5" fillId="0" borderId="9" xfId="0" applyNumberFormat="1" applyFont="1" applyBorder="1"/>
    <xf numFmtId="168" fontId="5" fillId="0" borderId="5" xfId="0" applyNumberFormat="1" applyFont="1" applyBorder="1"/>
    <xf numFmtId="168" fontId="5" fillId="0" borderId="7" xfId="0" applyNumberFormat="1" applyFont="1" applyBorder="1"/>
    <xf numFmtId="168" fontId="13" fillId="0" borderId="7" xfId="0" applyNumberFormat="1" applyFont="1" applyBorder="1"/>
    <xf numFmtId="168" fontId="5" fillId="0" borderId="9" xfId="0" applyNumberFormat="1" applyFont="1" applyBorder="1"/>
    <xf numFmtId="167" fontId="14" fillId="0" borderId="0" xfId="0" applyNumberFormat="1" applyFont="1" applyBorder="1"/>
    <xf numFmtId="0" fontId="2" fillId="0" borderId="13" xfId="0" applyFont="1" applyBorder="1"/>
    <xf numFmtId="0" fontId="2" fillId="0" borderId="5" xfId="0" applyFont="1" applyBorder="1"/>
    <xf numFmtId="169" fontId="11" fillId="0" borderId="7" xfId="0" applyNumberFormat="1" applyFont="1" applyBorder="1"/>
    <xf numFmtId="14" fontId="2" fillId="0" borderId="9" xfId="0" applyNumberFormat="1" applyFont="1" applyBorder="1"/>
    <xf numFmtId="0" fontId="6" fillId="0" borderId="4" xfId="0" applyFont="1" applyBorder="1"/>
    <xf numFmtId="166" fontId="2" fillId="0" borderId="4" xfId="0" applyNumberFormat="1" applyFont="1" applyBorder="1"/>
    <xf numFmtId="166" fontId="2" fillId="0" borderId="13" xfId="0" applyNumberFormat="1" applyFont="1" applyBorder="1"/>
    <xf numFmtId="166" fontId="2" fillId="0" borderId="5" xfId="0" applyNumberFormat="1" applyFont="1" applyBorder="1"/>
    <xf numFmtId="167" fontId="2" fillId="0" borderId="6" xfId="0" applyNumberFormat="1" applyFont="1" applyBorder="1"/>
    <xf numFmtId="167" fontId="2" fillId="0" borderId="7" xfId="0" applyNumberFormat="1" applyFont="1" applyBorder="1"/>
    <xf numFmtId="167" fontId="2" fillId="0" borderId="8" xfId="0" applyNumberFormat="1" applyFont="1" applyBorder="1"/>
    <xf numFmtId="167" fontId="2" fillId="0" borderId="1" xfId="0" applyNumberFormat="1" applyFont="1" applyBorder="1"/>
    <xf numFmtId="167" fontId="2" fillId="0" borderId="9" xfId="0" applyNumberFormat="1" applyFont="1" applyBorder="1"/>
    <xf numFmtId="167" fontId="2" fillId="0" borderId="4" xfId="0" applyNumberFormat="1" applyFont="1" applyBorder="1"/>
    <xf numFmtId="167" fontId="2" fillId="0" borderId="13" xfId="0" applyNumberFormat="1" applyFont="1" applyBorder="1"/>
    <xf numFmtId="167" fontId="2" fillId="0" borderId="5" xfId="0" applyNumberFormat="1" applyFont="1" applyBorder="1"/>
    <xf numFmtId="0" fontId="6" fillId="0" borderId="6" xfId="0" applyFont="1" applyBorder="1"/>
    <xf numFmtId="0" fontId="2" fillId="0" borderId="0" xfId="0" applyFont="1" applyFill="1"/>
    <xf numFmtId="0" fontId="2" fillId="0" borderId="0" xfId="0" applyFont="1" applyFill="1" applyAlignment="1">
      <alignment horizontal="left" indent="1"/>
    </xf>
    <xf numFmtId="39" fontId="11" fillId="0" borderId="0" xfId="0" applyNumberFormat="1" applyFont="1" applyBorder="1"/>
    <xf numFmtId="0" fontId="2" fillId="3" borderId="0" xfId="0" applyFont="1" applyFill="1"/>
    <xf numFmtId="166" fontId="2" fillId="3" borderId="0" xfId="0" applyNumberFormat="1" applyFont="1" applyFill="1"/>
    <xf numFmtId="167" fontId="2" fillId="3" borderId="0" xfId="0" applyNumberFormat="1" applyFont="1" applyFill="1"/>
    <xf numFmtId="167" fontId="7" fillId="3" borderId="0" xfId="0" applyNumberFormat="1" applyFont="1" applyFill="1"/>
    <xf numFmtId="167" fontId="10" fillId="3" borderId="0" xfId="0" applyNumberFormat="1" applyFont="1" applyFill="1"/>
    <xf numFmtId="167" fontId="11" fillId="3" borderId="0" xfId="0" applyNumberFormat="1" applyFont="1" applyFill="1"/>
    <xf numFmtId="167" fontId="4" fillId="3" borderId="0" xfId="0" applyNumberFormat="1" applyFont="1" applyFill="1"/>
    <xf numFmtId="168" fontId="2" fillId="3" borderId="0" xfId="1" applyNumberFormat="1" applyFont="1" applyFill="1"/>
    <xf numFmtId="164" fontId="6" fillId="0" borderId="14" xfId="0" applyNumberFormat="1" applyFont="1" applyBorder="1" applyAlignment="1">
      <alignment horizontal="right"/>
    </xf>
    <xf numFmtId="166" fontId="2" fillId="0" borderId="14" xfId="0" applyNumberFormat="1" applyFont="1" applyBorder="1" applyAlignment="1">
      <alignment horizontal="right"/>
    </xf>
    <xf numFmtId="167" fontId="7" fillId="0" borderId="14" xfId="0" applyNumberFormat="1" applyFont="1" applyBorder="1"/>
    <xf numFmtId="167" fontId="2" fillId="0" borderId="14" xfId="0" applyNumberFormat="1" applyFont="1" applyBorder="1"/>
    <xf numFmtId="166" fontId="2" fillId="0" borderId="14" xfId="0" applyNumberFormat="1" applyFont="1" applyBorder="1"/>
    <xf numFmtId="166" fontId="4" fillId="0" borderId="14" xfId="0" applyNumberFormat="1" applyFont="1" applyBorder="1"/>
    <xf numFmtId="0" fontId="2" fillId="0" borderId="14" xfId="0" applyFont="1" applyBorder="1"/>
    <xf numFmtId="167" fontId="2" fillId="0" borderId="14" xfId="0" applyNumberFormat="1" applyFont="1" applyFill="1" applyBorder="1"/>
    <xf numFmtId="0" fontId="4" fillId="0" borderId="14" xfId="0" applyFont="1" applyBorder="1"/>
    <xf numFmtId="2" fontId="2" fillId="0" borderId="0" xfId="0" applyNumberFormat="1" applyFont="1"/>
    <xf numFmtId="168" fontId="15" fillId="3" borderId="0" xfId="0" applyNumberFormat="1" applyFont="1" applyFill="1"/>
    <xf numFmtId="168" fontId="15" fillId="0" borderId="0" xfId="0" applyNumberFormat="1" applyFont="1"/>
    <xf numFmtId="166" fontId="15" fillId="0" borderId="0" xfId="0" applyNumberFormat="1" applyFont="1"/>
    <xf numFmtId="0" fontId="15" fillId="3" borderId="0" xfId="0" applyFont="1" applyFill="1"/>
    <xf numFmtId="167" fontId="15" fillId="3" borderId="0" xfId="0" applyNumberFormat="1" applyFont="1" applyFill="1"/>
    <xf numFmtId="0" fontId="15" fillId="0" borderId="0" xfId="0" applyFont="1"/>
    <xf numFmtId="166" fontId="15" fillId="3" borderId="0" xfId="0" applyNumberFormat="1" applyFont="1" applyFill="1"/>
    <xf numFmtId="168" fontId="2" fillId="0" borderId="14" xfId="1" applyNumberFormat="1" applyFont="1" applyBorder="1"/>
    <xf numFmtId="2" fontId="2" fillId="0" borderId="14" xfId="0" applyNumberFormat="1" applyFont="1" applyBorder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8" fontId="5" fillId="0" borderId="4" xfId="0" applyNumberFormat="1" applyFont="1" applyBorder="1" applyAlignment="1">
      <alignment horizontal="right" textRotation="90"/>
    </xf>
    <xf numFmtId="0" fontId="12" fillId="0" borderId="6" xfId="0" applyFont="1" applyBorder="1" applyAlignment="1">
      <alignment horizontal="right" textRotation="90"/>
    </xf>
    <xf numFmtId="0" fontId="12" fillId="0" borderId="8" xfId="0" applyFont="1" applyBorder="1" applyAlignment="1">
      <alignment horizontal="right" textRotation="90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9"/>
  <sheetViews>
    <sheetView showGridLines="0" workbookViewId="0"/>
  </sheetViews>
  <sheetFormatPr defaultColWidth="9.16796875" defaultRowHeight="13.5" x14ac:dyDescent="0.15"/>
  <cols>
    <col min="1" max="1" width="1.75" style="1" customWidth="1"/>
    <col min="2" max="2" width="45.71484375" style="1" customWidth="1"/>
    <col min="3" max="3" width="1.75" style="1" customWidth="1"/>
    <col min="4" max="16384" width="9.16796875" style="1"/>
  </cols>
  <sheetData>
    <row r="1" spans="2:11" ht="14.25" x14ac:dyDescent="0.15">
      <c r="B1" s="2" t="s">
        <v>5</v>
      </c>
      <c r="C1" s="3"/>
      <c r="D1" s="3"/>
      <c r="E1" s="3"/>
      <c r="F1" s="3"/>
      <c r="G1" s="3"/>
      <c r="H1" s="3"/>
      <c r="I1" s="3"/>
      <c r="J1" s="3"/>
      <c r="K1" s="3"/>
    </row>
    <row r="2" spans="2:11" x14ac:dyDescent="0.15">
      <c r="B2" s="29" t="s">
        <v>81</v>
      </c>
    </row>
    <row r="3" spans="2:11" x14ac:dyDescent="0.15">
      <c r="B3" s="4"/>
      <c r="D3" s="5" t="s">
        <v>0</v>
      </c>
      <c r="E3" s="5"/>
      <c r="F3" s="6"/>
      <c r="G3" s="5" t="s">
        <v>1</v>
      </c>
      <c r="H3" s="5"/>
      <c r="I3" s="5"/>
      <c r="J3" s="5"/>
      <c r="K3" s="5"/>
    </row>
    <row r="4" spans="2:11" x14ac:dyDescent="0.15">
      <c r="B4" s="4" t="s">
        <v>2</v>
      </c>
      <c r="D4" s="7" t="s">
        <v>3</v>
      </c>
      <c r="E4" s="7"/>
      <c r="F4" s="8"/>
      <c r="G4" s="7" t="s">
        <v>3</v>
      </c>
      <c r="H4" s="7"/>
      <c r="I4" s="7"/>
      <c r="J4" s="7"/>
      <c r="K4" s="7"/>
    </row>
    <row r="5" spans="2:11" x14ac:dyDescent="0.15">
      <c r="D5" s="9">
        <v>2003</v>
      </c>
      <c r="E5" s="9">
        <f t="shared" ref="E5:K5" si="0">D5+1</f>
        <v>2004</v>
      </c>
      <c r="F5" s="10">
        <f t="shared" si="0"/>
        <v>2005</v>
      </c>
      <c r="G5" s="11">
        <f t="shared" si="0"/>
        <v>2006</v>
      </c>
      <c r="H5" s="11">
        <f t="shared" si="0"/>
        <v>2007</v>
      </c>
      <c r="I5" s="11">
        <f t="shared" si="0"/>
        <v>2008</v>
      </c>
      <c r="J5" s="11">
        <f t="shared" si="0"/>
        <v>2009</v>
      </c>
      <c r="K5" s="11">
        <f t="shared" si="0"/>
        <v>2010</v>
      </c>
    </row>
    <row r="6" spans="2:11" x14ac:dyDescent="0.15">
      <c r="B6" s="12" t="s">
        <v>87</v>
      </c>
      <c r="F6" s="103"/>
      <c r="G6" s="89"/>
    </row>
    <row r="7" spans="2:11" x14ac:dyDescent="0.15">
      <c r="B7" s="1" t="s">
        <v>82</v>
      </c>
      <c r="D7" s="30"/>
      <c r="E7" s="30">
        <f>Model!E7/Model!D7-1</f>
        <v>4.1275030649775113E-2</v>
      </c>
      <c r="F7" s="114">
        <f>Model!F7/Model!E7-1</f>
        <v>4.9677765843179289E-2</v>
      </c>
      <c r="G7" s="107">
        <f>AVERAGE(D7:F7)</f>
        <v>4.5476398246477201E-2</v>
      </c>
      <c r="H7" s="108">
        <f>G7</f>
        <v>4.5476398246477201E-2</v>
      </c>
      <c r="I7" s="108">
        <f t="shared" ref="I7:K7" si="1">H7</f>
        <v>4.5476398246477201E-2</v>
      </c>
      <c r="J7" s="108">
        <f t="shared" si="1"/>
        <v>4.5476398246477201E-2</v>
      </c>
      <c r="K7" s="108">
        <f t="shared" si="1"/>
        <v>4.5476398246477201E-2</v>
      </c>
    </row>
    <row r="8" spans="2:11" x14ac:dyDescent="0.15">
      <c r="B8" s="1" t="s">
        <v>83</v>
      </c>
      <c r="D8" s="30">
        <f>Model!D8/Model!D7</f>
        <v>0.50192502097089886</v>
      </c>
      <c r="E8" s="30">
        <f>Model!E8/Model!E7</f>
        <v>0.49712881103858547</v>
      </c>
      <c r="F8" s="114">
        <f>Model!F8/Model!F7</f>
        <v>0.53255800224334382</v>
      </c>
      <c r="G8" s="107">
        <f>AVERAGE(D8:F8)</f>
        <v>0.51053727808427607</v>
      </c>
      <c r="H8" s="108">
        <f t="shared" ref="H8:K28" si="2">G8</f>
        <v>0.51053727808427607</v>
      </c>
      <c r="I8" s="108">
        <f t="shared" si="2"/>
        <v>0.51053727808427607</v>
      </c>
      <c r="J8" s="108">
        <f t="shared" si="2"/>
        <v>0.51053727808427607</v>
      </c>
      <c r="K8" s="108">
        <f t="shared" si="2"/>
        <v>0.51053727808427607</v>
      </c>
    </row>
    <row r="9" spans="2:11" x14ac:dyDescent="0.15">
      <c r="B9" s="1" t="s">
        <v>84</v>
      </c>
      <c r="D9" s="30">
        <f>Model!D12/Model!D7</f>
        <v>0.37424988707977541</v>
      </c>
      <c r="E9" s="30">
        <f>Model!E12/Model!E7</f>
        <v>0.36660332149053954</v>
      </c>
      <c r="F9" s="114">
        <f>Model!F12/Model!F7</f>
        <v>0.37422516087136198</v>
      </c>
      <c r="G9" s="107">
        <f>AVERAGE(D9:F9)</f>
        <v>0.37169278981389237</v>
      </c>
      <c r="H9" s="108">
        <f t="shared" si="2"/>
        <v>0.37169278981389237</v>
      </c>
      <c r="I9" s="108">
        <f t="shared" si="2"/>
        <v>0.37169278981389237</v>
      </c>
      <c r="J9" s="108">
        <f t="shared" si="2"/>
        <v>0.37169278981389237</v>
      </c>
      <c r="K9" s="108">
        <f t="shared" si="2"/>
        <v>0.37169278981389237</v>
      </c>
    </row>
    <row r="10" spans="2:11" x14ac:dyDescent="0.15">
      <c r="B10" s="1" t="s">
        <v>95</v>
      </c>
      <c r="D10" s="30">
        <f>Model!D13/Model!D7</f>
        <v>1.9787925063988125E-2</v>
      </c>
      <c r="E10" s="30">
        <f>Model!E13/Model!E7</f>
        <v>2.0945220193340497E-2</v>
      </c>
      <c r="F10" s="114">
        <f>Model!F13/Model!F7</f>
        <v>2.4361926127083457E-2</v>
      </c>
      <c r="G10" s="107">
        <f>AVERAGE(D10:F10)</f>
        <v>2.169835712813736E-2</v>
      </c>
      <c r="H10" s="108">
        <f t="shared" si="2"/>
        <v>2.169835712813736E-2</v>
      </c>
      <c r="I10" s="108">
        <f t="shared" si="2"/>
        <v>2.169835712813736E-2</v>
      </c>
      <c r="J10" s="108">
        <f t="shared" si="2"/>
        <v>2.169835712813736E-2</v>
      </c>
      <c r="K10" s="108">
        <f t="shared" si="2"/>
        <v>2.169835712813736E-2</v>
      </c>
    </row>
    <row r="11" spans="2:11" x14ac:dyDescent="0.15">
      <c r="B11" s="23" t="s">
        <v>85</v>
      </c>
      <c r="D11" s="15">
        <f>Model!D20</f>
        <v>12</v>
      </c>
      <c r="E11" s="15">
        <f>Model!E20</f>
        <v>2</v>
      </c>
      <c r="F11" s="101">
        <f>Model!F20</f>
        <v>10.199999999999999</v>
      </c>
      <c r="G11" s="109">
        <f>AVERAGE(D11:F11)</f>
        <v>8.0666666666666664</v>
      </c>
      <c r="H11" s="109">
        <f t="shared" si="2"/>
        <v>8.0666666666666664</v>
      </c>
      <c r="I11" s="109">
        <f t="shared" si="2"/>
        <v>8.0666666666666664</v>
      </c>
      <c r="J11" s="109">
        <f t="shared" si="2"/>
        <v>8.0666666666666664</v>
      </c>
      <c r="K11" s="109">
        <f t="shared" si="2"/>
        <v>8.0666666666666664</v>
      </c>
    </row>
    <row r="12" spans="2:11" x14ac:dyDescent="0.15">
      <c r="B12" s="1" t="s">
        <v>86</v>
      </c>
      <c r="D12" s="30">
        <f>Model!D24/Model!D22</f>
        <v>0.36865482233502517</v>
      </c>
      <c r="E12" s="30">
        <f>Model!E24/Model!E22</f>
        <v>0.37797454344216941</v>
      </c>
      <c r="F12" s="114">
        <f>Model!F24/Model!F22</f>
        <v>0.16049766718507019</v>
      </c>
      <c r="G12" s="107">
        <f>AVERAGE(D12:F12)</f>
        <v>0.30237567765408824</v>
      </c>
      <c r="H12" s="108">
        <f t="shared" si="2"/>
        <v>0.30237567765408824</v>
      </c>
      <c r="I12" s="108">
        <f t="shared" si="2"/>
        <v>0.30237567765408824</v>
      </c>
      <c r="J12" s="108">
        <f t="shared" si="2"/>
        <v>0.30237567765408824</v>
      </c>
      <c r="K12" s="108">
        <f t="shared" si="2"/>
        <v>0.30237567765408824</v>
      </c>
    </row>
    <row r="13" spans="2:11" x14ac:dyDescent="0.15">
      <c r="B13" s="18"/>
      <c r="F13" s="103"/>
      <c r="G13" s="110"/>
      <c r="H13" s="108"/>
      <c r="I13" s="108"/>
      <c r="J13" s="108"/>
      <c r="K13" s="108"/>
    </row>
    <row r="14" spans="2:11" x14ac:dyDescent="0.15">
      <c r="F14" s="103"/>
      <c r="G14" s="110"/>
      <c r="H14" s="108"/>
      <c r="I14" s="108"/>
      <c r="J14" s="108"/>
      <c r="K14" s="108"/>
    </row>
    <row r="15" spans="2:11" x14ac:dyDescent="0.15">
      <c r="B15" s="12" t="s">
        <v>88</v>
      </c>
      <c r="F15" s="103"/>
      <c r="G15" s="110"/>
      <c r="H15" s="108"/>
      <c r="I15" s="108"/>
      <c r="J15" s="108"/>
      <c r="K15" s="108"/>
    </row>
    <row r="16" spans="2:11" x14ac:dyDescent="0.15">
      <c r="B16" s="1" t="s">
        <v>89</v>
      </c>
      <c r="E16" s="24">
        <f>Model!E36/Model!E7*365</f>
        <v>18.170081797901346</v>
      </c>
      <c r="F16" s="100">
        <f>Model!F36/Model!F7*365</f>
        <v>22.223074955231517</v>
      </c>
      <c r="G16" s="111">
        <f>AVERAGE(D16:F16)</f>
        <v>20.196578376566432</v>
      </c>
      <c r="H16" s="111">
        <f t="shared" si="2"/>
        <v>20.196578376566432</v>
      </c>
      <c r="I16" s="111">
        <f t="shared" si="2"/>
        <v>20.196578376566432</v>
      </c>
      <c r="J16" s="111">
        <f t="shared" si="2"/>
        <v>20.196578376566432</v>
      </c>
      <c r="K16" s="111">
        <f t="shared" si="2"/>
        <v>20.196578376566432</v>
      </c>
    </row>
    <row r="17" spans="2:11" x14ac:dyDescent="0.15">
      <c r="B17" s="1" t="s">
        <v>90</v>
      </c>
      <c r="E17" s="106">
        <f>Model!E37/Model!E8*365</f>
        <v>152.22109112062159</v>
      </c>
      <c r="F17" s="115">
        <f>Model!F37/Model!F8*365</f>
        <v>130.13653327421201</v>
      </c>
      <c r="G17" s="111">
        <f>AVERAGE(D17:F17)</f>
        <v>141.17881219741679</v>
      </c>
      <c r="H17" s="111">
        <f t="shared" si="2"/>
        <v>141.17881219741679</v>
      </c>
      <c r="I17" s="111">
        <f t="shared" si="2"/>
        <v>141.17881219741679</v>
      </c>
      <c r="J17" s="111">
        <f t="shared" si="2"/>
        <v>141.17881219741679</v>
      </c>
      <c r="K17" s="111">
        <f t="shared" si="2"/>
        <v>141.17881219741679</v>
      </c>
    </row>
    <row r="18" spans="2:11" x14ac:dyDescent="0.15">
      <c r="B18" s="1" t="s">
        <v>91</v>
      </c>
      <c r="E18" s="30">
        <f>Model!E38/Model!E7</f>
        <v>1.9106833016607455E-2</v>
      </c>
      <c r="F18" s="114">
        <f>Model!F38/Model!F7</f>
        <v>2.5385205738237205E-2</v>
      </c>
      <c r="G18" s="107">
        <f>AVERAGE(D18:F18)</f>
        <v>2.2246019377422328E-2</v>
      </c>
      <c r="H18" s="108">
        <f t="shared" si="2"/>
        <v>2.2246019377422328E-2</v>
      </c>
      <c r="I18" s="108">
        <f t="shared" si="2"/>
        <v>2.2246019377422328E-2</v>
      </c>
      <c r="J18" s="108">
        <f t="shared" si="2"/>
        <v>2.2246019377422328E-2</v>
      </c>
      <c r="K18" s="108">
        <f t="shared" si="2"/>
        <v>2.2246019377422328E-2</v>
      </c>
    </row>
    <row r="19" spans="2:11" x14ac:dyDescent="0.15">
      <c r="B19" s="1" t="s">
        <v>92</v>
      </c>
      <c r="E19" s="24">
        <f>Model!E49/Model!E8*365</f>
        <v>67.064029584077787</v>
      </c>
      <c r="F19" s="100">
        <f>Model!F49/Model!F8*365</f>
        <v>66.207922255477953</v>
      </c>
      <c r="G19" s="111">
        <f>AVERAGE(D19:F19)</f>
        <v>66.635975919777877</v>
      </c>
      <c r="H19" s="111">
        <f t="shared" si="2"/>
        <v>66.635975919777877</v>
      </c>
      <c r="I19" s="111">
        <f t="shared" si="2"/>
        <v>66.635975919777877</v>
      </c>
      <c r="J19" s="111">
        <f t="shared" si="2"/>
        <v>66.635975919777877</v>
      </c>
      <c r="K19" s="111">
        <f t="shared" si="2"/>
        <v>66.635975919777877</v>
      </c>
    </row>
    <row r="20" spans="2:11" x14ac:dyDescent="0.15">
      <c r="B20" s="23" t="s">
        <v>93</v>
      </c>
      <c r="E20" s="30">
        <f>Model!E50/Model!E7</f>
        <v>7.0664298107907142E-2</v>
      </c>
      <c r="F20" s="114">
        <f>Model!F50/Model!F7</f>
        <v>7.4679733160162937E-2</v>
      </c>
      <c r="G20" s="107">
        <f>AVERAGE(D20:F20)</f>
        <v>7.2672015634035039E-2</v>
      </c>
      <c r="H20" s="108">
        <f t="shared" si="2"/>
        <v>7.2672015634035039E-2</v>
      </c>
      <c r="I20" s="108">
        <f t="shared" si="2"/>
        <v>7.2672015634035039E-2</v>
      </c>
      <c r="J20" s="108">
        <f t="shared" si="2"/>
        <v>7.2672015634035039E-2</v>
      </c>
      <c r="K20" s="108">
        <f t="shared" si="2"/>
        <v>7.2672015634035039E-2</v>
      </c>
    </row>
    <row r="21" spans="2:11" x14ac:dyDescent="0.15">
      <c r="B21" s="14"/>
      <c r="F21" s="103"/>
      <c r="G21" s="110"/>
      <c r="H21" s="108"/>
      <c r="I21" s="108"/>
      <c r="J21" s="108"/>
      <c r="K21" s="108"/>
    </row>
    <row r="22" spans="2:11" x14ac:dyDescent="0.15">
      <c r="B22" s="12" t="s">
        <v>94</v>
      </c>
      <c r="F22" s="103"/>
      <c r="G22" s="110"/>
      <c r="H22" s="108"/>
      <c r="I22" s="108"/>
      <c r="J22" s="108"/>
      <c r="K22" s="108"/>
    </row>
    <row r="23" spans="2:11" x14ac:dyDescent="0.15">
      <c r="B23" s="1" t="s">
        <v>96</v>
      </c>
      <c r="D23" s="30">
        <f>-Model!D92/Model!D7</f>
        <v>4.0780332523175526E-2</v>
      </c>
      <c r="E23" s="30">
        <f>-Model!E92/Model!E7</f>
        <v>4.7384945881186483E-2</v>
      </c>
      <c r="F23" s="114">
        <f>-Model!F92/Model!F7</f>
        <v>3.3591121081527835E-2</v>
      </c>
      <c r="G23" s="107">
        <f>AVERAGE(D23:F23)</f>
        <v>4.0585466495296617E-2</v>
      </c>
      <c r="H23" s="108">
        <f t="shared" si="2"/>
        <v>4.0585466495296617E-2</v>
      </c>
      <c r="I23" s="108">
        <f t="shared" si="2"/>
        <v>4.0585466495296617E-2</v>
      </c>
      <c r="J23" s="108">
        <f t="shared" si="2"/>
        <v>4.0585466495296617E-2</v>
      </c>
      <c r="K23" s="108">
        <f t="shared" si="2"/>
        <v>4.0585466495296617E-2</v>
      </c>
    </row>
    <row r="24" spans="2:11" x14ac:dyDescent="0.15">
      <c r="B24" s="1" t="s">
        <v>68</v>
      </c>
      <c r="D24" s="15">
        <f>-Model!D96</f>
        <v>6</v>
      </c>
      <c r="E24" s="15">
        <f>-Model!E96</f>
        <v>4.2</v>
      </c>
      <c r="F24" s="101">
        <f>-Model!F96</f>
        <v>16</v>
      </c>
      <c r="G24" s="109">
        <f t="shared" ref="G24:G27" si="3">AVERAGE(D24:F24)</f>
        <v>8.7333333333333325</v>
      </c>
      <c r="H24" s="109">
        <f t="shared" si="2"/>
        <v>8.7333333333333325</v>
      </c>
      <c r="I24" s="109">
        <f t="shared" si="2"/>
        <v>8.7333333333333325</v>
      </c>
      <c r="J24" s="109">
        <f t="shared" si="2"/>
        <v>8.7333333333333325</v>
      </c>
      <c r="K24" s="109">
        <f t="shared" si="2"/>
        <v>8.7333333333333325</v>
      </c>
    </row>
    <row r="25" spans="2:11" x14ac:dyDescent="0.15">
      <c r="B25" s="23" t="s">
        <v>71</v>
      </c>
      <c r="D25" s="15">
        <f>-Model!D100</f>
        <v>286.2</v>
      </c>
      <c r="E25" s="15">
        <f>-Model!E100</f>
        <v>251.1</v>
      </c>
      <c r="F25" s="101">
        <f>-Model!F100</f>
        <v>625.79999999999995</v>
      </c>
      <c r="G25" s="109">
        <f t="shared" si="3"/>
        <v>387.7</v>
      </c>
      <c r="H25" s="109">
        <f t="shared" si="2"/>
        <v>387.7</v>
      </c>
      <c r="I25" s="109">
        <f t="shared" si="2"/>
        <v>387.7</v>
      </c>
      <c r="J25" s="109">
        <f t="shared" si="2"/>
        <v>387.7</v>
      </c>
      <c r="K25" s="109">
        <f t="shared" si="2"/>
        <v>387.7</v>
      </c>
    </row>
    <row r="26" spans="2:11" x14ac:dyDescent="0.15">
      <c r="B26" s="23" t="s">
        <v>72</v>
      </c>
      <c r="D26" s="15">
        <f>Model!D101</f>
        <v>35.799999999999997</v>
      </c>
      <c r="E26" s="15">
        <f>Model!E101</f>
        <v>35.4</v>
      </c>
      <c r="F26" s="101">
        <f>Model!F101</f>
        <v>30.1</v>
      </c>
      <c r="G26" s="109">
        <f t="shared" si="3"/>
        <v>33.766666666666659</v>
      </c>
      <c r="H26" s="109">
        <f t="shared" si="2"/>
        <v>33.766666666666659</v>
      </c>
      <c r="I26" s="109">
        <f t="shared" si="2"/>
        <v>33.766666666666659</v>
      </c>
      <c r="J26" s="109">
        <f t="shared" si="2"/>
        <v>33.766666666666659</v>
      </c>
      <c r="K26" s="109">
        <f t="shared" si="2"/>
        <v>33.766666666666659</v>
      </c>
    </row>
    <row r="27" spans="2:11" x14ac:dyDescent="0.15">
      <c r="B27" s="23" t="s">
        <v>73</v>
      </c>
      <c r="D27" s="15">
        <f>Model!D102</f>
        <v>15.7</v>
      </c>
      <c r="E27" s="15">
        <f>Model!E102</f>
        <v>50.4</v>
      </c>
      <c r="F27" s="101">
        <f>Model!F102</f>
        <v>17.399999999999999</v>
      </c>
      <c r="G27" s="109">
        <f t="shared" si="3"/>
        <v>27.833333333333332</v>
      </c>
      <c r="H27" s="109">
        <f t="shared" si="2"/>
        <v>27.833333333333332</v>
      </c>
      <c r="I27" s="109">
        <f t="shared" si="2"/>
        <v>27.833333333333332</v>
      </c>
      <c r="J27" s="109">
        <f t="shared" si="2"/>
        <v>27.833333333333332</v>
      </c>
      <c r="K27" s="109">
        <f t="shared" si="2"/>
        <v>27.833333333333332</v>
      </c>
    </row>
    <row r="28" spans="2:11" x14ac:dyDescent="0.15">
      <c r="B28" s="23" t="s">
        <v>97</v>
      </c>
      <c r="D28" s="30">
        <f>-Model!D103/Model!D28</f>
        <v>0.136683417085427</v>
      </c>
      <c r="E28" s="30">
        <f>-Model!E103/Model!E28</f>
        <v>0.11773428232502969</v>
      </c>
      <c r="F28" s="114">
        <f>-Model!F103/Model!F28</f>
        <v>0.12621722846441968</v>
      </c>
      <c r="G28" s="107">
        <f>AVERAGE(D28:F28)</f>
        <v>0.12687830929162544</v>
      </c>
      <c r="H28" s="108">
        <f t="shared" si="2"/>
        <v>0.12687830929162544</v>
      </c>
      <c r="I28" s="108">
        <f t="shared" si="2"/>
        <v>0.12687830929162544</v>
      </c>
      <c r="J28" s="108">
        <f t="shared" si="2"/>
        <v>0.12687830929162544</v>
      </c>
      <c r="K28" s="108">
        <f t="shared" si="2"/>
        <v>0.12687830929162544</v>
      </c>
    </row>
    <row r="29" spans="2:11" x14ac:dyDescent="0.15">
      <c r="F29" s="103"/>
      <c r="G29" s="110"/>
      <c r="H29" s="112"/>
      <c r="I29" s="112"/>
      <c r="J29" s="112"/>
      <c r="K29" s="112"/>
    </row>
    <row r="30" spans="2:11" x14ac:dyDescent="0.15">
      <c r="B30" s="12" t="s">
        <v>104</v>
      </c>
      <c r="F30" s="103"/>
      <c r="G30" s="110"/>
      <c r="H30" s="112"/>
      <c r="I30" s="112"/>
      <c r="J30" s="112"/>
      <c r="K30" s="112"/>
    </row>
    <row r="31" spans="2:11" x14ac:dyDescent="0.15">
      <c r="B31" s="1" t="s">
        <v>107</v>
      </c>
      <c r="F31" s="103"/>
      <c r="G31" s="107">
        <v>0.05</v>
      </c>
      <c r="H31" s="108">
        <f>G31</f>
        <v>0.05</v>
      </c>
      <c r="I31" s="108">
        <f t="shared" ref="I31:K31" si="4">H31</f>
        <v>0.05</v>
      </c>
      <c r="J31" s="108">
        <f t="shared" si="4"/>
        <v>0.05</v>
      </c>
      <c r="K31" s="108">
        <f t="shared" si="4"/>
        <v>0.05</v>
      </c>
    </row>
    <row r="32" spans="2:11" x14ac:dyDescent="0.15">
      <c r="B32" s="1" t="s">
        <v>105</v>
      </c>
      <c r="F32" s="103"/>
      <c r="G32" s="107">
        <v>7.0000000000000007E-2</v>
      </c>
      <c r="H32" s="108">
        <f>G32</f>
        <v>7.0000000000000007E-2</v>
      </c>
      <c r="I32" s="108">
        <f t="shared" ref="I32:K32" si="5">H32</f>
        <v>7.0000000000000007E-2</v>
      </c>
      <c r="J32" s="108">
        <f t="shared" si="5"/>
        <v>7.0000000000000007E-2</v>
      </c>
      <c r="K32" s="108">
        <f t="shared" si="5"/>
        <v>7.0000000000000007E-2</v>
      </c>
    </row>
    <row r="33" spans="2:11" x14ac:dyDescent="0.15">
      <c r="B33" s="1" t="s">
        <v>106</v>
      </c>
      <c r="F33" s="103"/>
      <c r="G33" s="113">
        <v>0</v>
      </c>
      <c r="H33" s="109">
        <v>0</v>
      </c>
      <c r="I33" s="109">
        <v>0</v>
      </c>
      <c r="J33" s="109">
        <v>0</v>
      </c>
      <c r="K33" s="109">
        <v>0</v>
      </c>
    </row>
    <row r="34" spans="2:11" x14ac:dyDescent="0.15">
      <c r="B34" s="1" t="s">
        <v>111</v>
      </c>
      <c r="D34" s="30">
        <f>Model!D18/AVERAGE(Model!D109:D110)</f>
        <v>2.3677395486496489E-2</v>
      </c>
      <c r="E34" s="30">
        <f>Model!E18/AVERAGE(Model!E109:E110)</f>
        <v>2.1256759276524331E-2</v>
      </c>
      <c r="F34" s="114">
        <f>Model!F18/AVERAGE(Model!F109:F110)</f>
        <v>1.7827466384650249E-2</v>
      </c>
      <c r="G34" s="107">
        <f>AVERAGE(D34:F34)</f>
        <v>2.0920540382557019E-2</v>
      </c>
      <c r="H34" s="108">
        <f>G34</f>
        <v>2.0920540382557019E-2</v>
      </c>
      <c r="I34" s="108">
        <f t="shared" ref="I34:K34" si="6">H34</f>
        <v>2.0920540382557019E-2</v>
      </c>
      <c r="J34" s="108">
        <f t="shared" si="6"/>
        <v>2.0920540382557019E-2</v>
      </c>
      <c r="K34" s="108">
        <f t="shared" si="6"/>
        <v>2.0920540382557019E-2</v>
      </c>
    </row>
    <row r="35" spans="2:11" x14ac:dyDescent="0.15">
      <c r="G35" s="89"/>
    </row>
    <row r="36" spans="2:11" x14ac:dyDescent="0.15">
      <c r="B36" s="12"/>
      <c r="G36" s="89"/>
    </row>
    <row r="37" spans="2:11" x14ac:dyDescent="0.15">
      <c r="G37" s="89"/>
    </row>
    <row r="38" spans="2:11" x14ac:dyDescent="0.15">
      <c r="G38" s="89"/>
    </row>
    <row r="39" spans="2:11" x14ac:dyDescent="0.15">
      <c r="G39" s="89"/>
    </row>
    <row r="40" spans="2:11" x14ac:dyDescent="0.15">
      <c r="G40" s="89"/>
    </row>
    <row r="41" spans="2:11" x14ac:dyDescent="0.15">
      <c r="G41" s="89"/>
    </row>
    <row r="42" spans="2:11" x14ac:dyDescent="0.15">
      <c r="G42" s="89"/>
    </row>
    <row r="43" spans="2:11" x14ac:dyDescent="0.15">
      <c r="G43" s="89"/>
    </row>
    <row r="44" spans="2:11" x14ac:dyDescent="0.15">
      <c r="G44" s="89"/>
    </row>
    <row r="45" spans="2:11" x14ac:dyDescent="0.15">
      <c r="G45" s="89"/>
    </row>
    <row r="46" spans="2:11" x14ac:dyDescent="0.15">
      <c r="G46" s="89"/>
    </row>
    <row r="47" spans="2:11" x14ac:dyDescent="0.15">
      <c r="G47" s="89"/>
    </row>
    <row r="48" spans="2:11" x14ac:dyDescent="0.15">
      <c r="G48" s="89"/>
    </row>
    <row r="49" spans="7:7" x14ac:dyDescent="0.15">
      <c r="G49" s="89"/>
    </row>
    <row r="50" spans="7:7" x14ac:dyDescent="0.15">
      <c r="G50" s="89"/>
    </row>
    <row r="51" spans="7:7" x14ac:dyDescent="0.15">
      <c r="G51" s="89"/>
    </row>
    <row r="52" spans="7:7" x14ac:dyDescent="0.15">
      <c r="G52" s="89"/>
    </row>
    <row r="53" spans="7:7" x14ac:dyDescent="0.15">
      <c r="G53" s="89"/>
    </row>
    <row r="54" spans="7:7" x14ac:dyDescent="0.15">
      <c r="G54" s="89"/>
    </row>
    <row r="55" spans="7:7" x14ac:dyDescent="0.15">
      <c r="G55" s="89"/>
    </row>
    <row r="56" spans="7:7" x14ac:dyDescent="0.15">
      <c r="G56" s="89"/>
    </row>
    <row r="57" spans="7:7" x14ac:dyDescent="0.15">
      <c r="G57" s="89"/>
    </row>
    <row r="58" spans="7:7" x14ac:dyDescent="0.15">
      <c r="G58" s="89"/>
    </row>
    <row r="59" spans="7:7" x14ac:dyDescent="0.15">
      <c r="G59" s="89"/>
    </row>
    <row r="60" spans="7:7" x14ac:dyDescent="0.15">
      <c r="G60" s="89"/>
    </row>
    <row r="61" spans="7:7" x14ac:dyDescent="0.15">
      <c r="G61" s="89"/>
    </row>
    <row r="62" spans="7:7" x14ac:dyDescent="0.15">
      <c r="G62" s="89"/>
    </row>
    <row r="63" spans="7:7" x14ac:dyDescent="0.15">
      <c r="G63" s="89"/>
    </row>
    <row r="64" spans="7:7" x14ac:dyDescent="0.15">
      <c r="G64" s="89"/>
    </row>
    <row r="65" spans="7:7" x14ac:dyDescent="0.15">
      <c r="G65" s="89"/>
    </row>
    <row r="66" spans="7:7" x14ac:dyDescent="0.15">
      <c r="G66" s="89"/>
    </row>
    <row r="67" spans="7:7" x14ac:dyDescent="0.15">
      <c r="G67" s="89"/>
    </row>
    <row r="68" spans="7:7" x14ac:dyDescent="0.15">
      <c r="G68" s="89"/>
    </row>
    <row r="69" spans="7:7" x14ac:dyDescent="0.15">
      <c r="G69" s="89"/>
    </row>
  </sheetData>
  <phoneticPr fontId="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8"/>
  <sheetViews>
    <sheetView showGridLines="0" tabSelected="1" zoomScale="80" zoomScaleNormal="80" workbookViewId="0">
      <pane ySplit="5" topLeftCell="A8" activePane="bottomLeft" state="frozen"/>
      <selection pane="bottomLeft"/>
    </sheetView>
  </sheetViews>
  <sheetFormatPr defaultColWidth="9.16796875" defaultRowHeight="13.5" x14ac:dyDescent="0.15"/>
  <cols>
    <col min="1" max="1" width="1.75" style="1" customWidth="1"/>
    <col min="2" max="2" width="66.48046875" style="1" bestFit="1" customWidth="1"/>
    <col min="3" max="3" width="1.75" style="1" customWidth="1"/>
    <col min="4" max="11" width="13.078125" style="1" customWidth="1"/>
    <col min="12" max="16384" width="9.16796875" style="1"/>
  </cols>
  <sheetData>
    <row r="1" spans="2:11" ht="14.25" x14ac:dyDescent="0.15">
      <c r="B1" s="2" t="s">
        <v>5</v>
      </c>
      <c r="C1" s="3"/>
      <c r="D1" s="3"/>
      <c r="E1" s="3"/>
      <c r="F1" s="3"/>
      <c r="G1" s="3"/>
      <c r="H1" s="3"/>
      <c r="I1" s="3"/>
      <c r="J1" s="3"/>
      <c r="K1" s="3"/>
    </row>
    <row r="2" spans="2:11" x14ac:dyDescent="0.15">
      <c r="B2" s="29" t="s">
        <v>139</v>
      </c>
    </row>
    <row r="3" spans="2:11" x14ac:dyDescent="0.15">
      <c r="B3" s="4"/>
      <c r="D3" s="116" t="s">
        <v>0</v>
      </c>
      <c r="E3" s="116"/>
      <c r="F3" s="117"/>
      <c r="G3" s="5" t="s">
        <v>1</v>
      </c>
      <c r="H3" s="5"/>
      <c r="I3" s="5"/>
      <c r="J3" s="5"/>
      <c r="K3" s="5"/>
    </row>
    <row r="4" spans="2:11" x14ac:dyDescent="0.15">
      <c r="B4" s="4" t="s">
        <v>2</v>
      </c>
      <c r="D4" s="118" t="s">
        <v>3</v>
      </c>
      <c r="E4" s="118"/>
      <c r="F4" s="119"/>
      <c r="G4" s="7" t="s">
        <v>3</v>
      </c>
      <c r="H4" s="7"/>
      <c r="I4" s="7"/>
      <c r="J4" s="7"/>
      <c r="K4" s="7"/>
    </row>
    <row r="5" spans="2:11" x14ac:dyDescent="0.15">
      <c r="D5" s="9">
        <v>2003</v>
      </c>
      <c r="E5" s="9">
        <f>D5+1</f>
        <v>2004</v>
      </c>
      <c r="F5" s="10">
        <f>E5+1</f>
        <v>2005</v>
      </c>
      <c r="G5" s="11">
        <f>F5+1</f>
        <v>2006</v>
      </c>
      <c r="H5" s="11">
        <f t="shared" ref="H5:K5" si="0">G5+1</f>
        <v>2007</v>
      </c>
      <c r="I5" s="11">
        <f t="shared" si="0"/>
        <v>2008</v>
      </c>
      <c r="J5" s="11">
        <f t="shared" si="0"/>
        <v>2009</v>
      </c>
      <c r="K5" s="11">
        <f t="shared" si="0"/>
        <v>2010</v>
      </c>
    </row>
    <row r="6" spans="2:11" x14ac:dyDescent="0.15">
      <c r="B6" s="12" t="s">
        <v>4</v>
      </c>
      <c r="D6" s="9"/>
      <c r="E6" s="9"/>
      <c r="F6" s="97"/>
      <c r="G6" s="11"/>
      <c r="H6" s="11"/>
      <c r="I6" s="11"/>
      <c r="J6" s="11"/>
      <c r="K6" s="11"/>
    </row>
    <row r="7" spans="2:11" x14ac:dyDescent="0.15">
      <c r="B7" s="18" t="s">
        <v>9</v>
      </c>
      <c r="D7" s="13">
        <v>4649.3</v>
      </c>
      <c r="E7" s="13">
        <v>4841.2</v>
      </c>
      <c r="F7" s="98">
        <v>5081.7</v>
      </c>
      <c r="G7" s="13">
        <f>F7*(1+Assumptions!G7)</f>
        <v>5312.7974129691229</v>
      </c>
      <c r="H7" s="13">
        <f>G7*(1+Assumptions!H7)</f>
        <v>5554.4043039241606</v>
      </c>
      <c r="I7" s="13">
        <f>H7*(1+Assumptions!I7)</f>
        <v>5806.9986060713627</v>
      </c>
      <c r="J7" s="13">
        <f>I7*(1+Assumptions!J7)</f>
        <v>6071.0799872978023</v>
      </c>
      <c r="K7" s="13">
        <f>J7*(1+Assumptions!K7)</f>
        <v>6347.1708385863749</v>
      </c>
    </row>
    <row r="8" spans="2:11" x14ac:dyDescent="0.15">
      <c r="B8" s="1" t="s">
        <v>8</v>
      </c>
      <c r="D8" s="25">
        <v>2333.6</v>
      </c>
      <c r="E8" s="25">
        <v>2406.6999999999998</v>
      </c>
      <c r="F8" s="99">
        <v>2706.3</v>
      </c>
      <c r="G8" s="25">
        <f>G7*Assumptions!G8</f>
        <v>2712.3811302304398</v>
      </c>
      <c r="H8" s="25">
        <f>H7*Assumptions!H8</f>
        <v>2835.7304547050289</v>
      </c>
      <c r="I8" s="25">
        <f>I7*Assumptions!I8</f>
        <v>2964.6892621828588</v>
      </c>
      <c r="J8" s="25">
        <f>J7*Assumptions!J8</f>
        <v>3099.5126517469412</v>
      </c>
      <c r="K8" s="25">
        <f>K7*Assumptions!K8</f>
        <v>3240.4673234677798</v>
      </c>
    </row>
    <row r="9" spans="2:11" x14ac:dyDescent="0.15">
      <c r="B9" s="18" t="s">
        <v>7</v>
      </c>
      <c r="D9" s="24">
        <f>D7-D8</f>
        <v>2315.7000000000003</v>
      </c>
      <c r="E9" s="24">
        <f t="shared" ref="E9:G9" si="1">E7-E8</f>
        <v>2434.5</v>
      </c>
      <c r="F9" s="100">
        <f>F7-F8</f>
        <v>2375.3999999999996</v>
      </c>
      <c r="G9" s="24">
        <f t="shared" si="1"/>
        <v>2600.4162827386831</v>
      </c>
      <c r="H9" s="24">
        <f t="shared" ref="H9" si="2">H7-H8</f>
        <v>2718.6738492191316</v>
      </c>
      <c r="I9" s="24">
        <f t="shared" ref="I9" si="3">I7-I8</f>
        <v>2842.3093438885039</v>
      </c>
      <c r="J9" s="24">
        <f t="shared" ref="J9" si="4">J7-J8</f>
        <v>2971.5673355508611</v>
      </c>
      <c r="K9" s="24">
        <f t="shared" ref="K9" si="5">K7-K8</f>
        <v>3106.7035151185951</v>
      </c>
    </row>
    <row r="10" spans="2:11" ht="5.0999999999999996" customHeight="1" x14ac:dyDescent="0.15">
      <c r="D10" s="24"/>
      <c r="E10" s="24"/>
      <c r="F10" s="100"/>
      <c r="G10" s="24"/>
      <c r="H10" s="24"/>
      <c r="I10" s="24"/>
      <c r="J10" s="24"/>
      <c r="K10" s="24"/>
    </row>
    <row r="11" spans="2:11" x14ac:dyDescent="0.15">
      <c r="B11" s="4" t="s">
        <v>6</v>
      </c>
      <c r="D11" s="24"/>
      <c r="E11" s="24"/>
      <c r="F11" s="100"/>
      <c r="G11" s="24"/>
      <c r="H11" s="24"/>
      <c r="I11" s="24"/>
      <c r="J11" s="24"/>
      <c r="K11" s="24"/>
    </row>
    <row r="12" spans="2:11" x14ac:dyDescent="0.15">
      <c r="B12" s="1" t="s">
        <v>10</v>
      </c>
      <c r="D12" s="24">
        <v>1740</v>
      </c>
      <c r="E12" s="24">
        <v>1774.8</v>
      </c>
      <c r="F12" s="100">
        <v>1901.7</v>
      </c>
      <c r="G12" s="24">
        <f>G7*Assumptions!G9</f>
        <v>1974.7284921425232</v>
      </c>
      <c r="H12" s="24">
        <f>H7*Assumptions!H9</f>
        <v>2064.5320314798623</v>
      </c>
      <c r="I12" s="24">
        <f>I7*Assumptions!I9</f>
        <v>2158.4195123360491</v>
      </c>
      <c r="J12" s="24">
        <f>J7*Assumptions!J9</f>
        <v>2256.5766576620103</v>
      </c>
      <c r="K12" s="24">
        <f>K7*Assumptions!K9</f>
        <v>2359.1976364195525</v>
      </c>
    </row>
    <row r="13" spans="2:11" x14ac:dyDescent="0.15">
      <c r="B13" s="1" t="s">
        <v>11</v>
      </c>
      <c r="D13" s="25">
        <v>92</v>
      </c>
      <c r="E13" s="25">
        <v>101.4</v>
      </c>
      <c r="F13" s="99">
        <v>123.8</v>
      </c>
      <c r="G13" s="25">
        <f>G7*Assumptions!G10</f>
        <v>115.27897561604829</v>
      </c>
      <c r="H13" s="25">
        <f>H7*Assumptions!H10</f>
        <v>120.52144822060964</v>
      </c>
      <c r="I13" s="25">
        <f>I7*Assumptions!I10</f>
        <v>126.00232959713226</v>
      </c>
      <c r="J13" s="25">
        <f>J7*Assumptions!J10</f>
        <v>131.73246171787534</v>
      </c>
      <c r="K13" s="25">
        <f>K7*Assumptions!K10</f>
        <v>137.72317960894625</v>
      </c>
    </row>
    <row r="14" spans="2:11" x14ac:dyDescent="0.15">
      <c r="B14" s="16" t="s">
        <v>12</v>
      </c>
      <c r="D14" s="24">
        <f>D12+D13</f>
        <v>1832</v>
      </c>
      <c r="E14" s="24">
        <f t="shared" ref="E14:G14" si="6">E12+E13</f>
        <v>1876.2</v>
      </c>
      <c r="F14" s="100">
        <f>F12+F13</f>
        <v>2025.5</v>
      </c>
      <c r="G14" s="24">
        <f t="shared" si="6"/>
        <v>2090.0074677585717</v>
      </c>
      <c r="H14" s="24">
        <f t="shared" ref="H14" si="7">H12+H13</f>
        <v>2185.0534797004721</v>
      </c>
      <c r="I14" s="24">
        <f t="shared" ref="I14" si="8">I12+I13</f>
        <v>2284.4218419331814</v>
      </c>
      <c r="J14" s="24">
        <f t="shared" ref="J14" si="9">J12+J13</f>
        <v>2388.3091193798855</v>
      </c>
      <c r="K14" s="24">
        <f t="shared" ref="K14" si="10">K12+K13</f>
        <v>2496.9208160284988</v>
      </c>
    </row>
    <row r="15" spans="2:11" ht="5.0999999999999996" customHeight="1" x14ac:dyDescent="0.15">
      <c r="D15" s="24"/>
      <c r="E15" s="24"/>
      <c r="F15" s="100"/>
      <c r="G15" s="91"/>
      <c r="H15" s="91"/>
      <c r="I15" s="91"/>
      <c r="J15" s="91"/>
      <c r="K15" s="91"/>
    </row>
    <row r="16" spans="2:11" x14ac:dyDescent="0.15">
      <c r="B16" s="18" t="s">
        <v>13</v>
      </c>
      <c r="D16" s="24">
        <f>D9-D14</f>
        <v>483.70000000000027</v>
      </c>
      <c r="E16" s="24">
        <f t="shared" ref="E16:G16" si="11">E9-E14</f>
        <v>558.29999999999995</v>
      </c>
      <c r="F16" s="100">
        <f>F9-F14</f>
        <v>349.89999999999964</v>
      </c>
      <c r="G16" s="24">
        <f t="shared" si="11"/>
        <v>510.4088149801114</v>
      </c>
      <c r="H16" s="24">
        <f t="shared" ref="H16:K16" si="12">H9-H14</f>
        <v>533.62036951865957</v>
      </c>
      <c r="I16" s="24">
        <f t="shared" si="12"/>
        <v>557.88750195532248</v>
      </c>
      <c r="J16" s="24">
        <f t="shared" si="12"/>
        <v>583.25821617097563</v>
      </c>
      <c r="K16" s="24">
        <f t="shared" si="12"/>
        <v>609.78269909009623</v>
      </c>
    </row>
    <row r="17" spans="2:11" ht="5.0999999999999996" customHeight="1" x14ac:dyDescent="0.15">
      <c r="D17" s="24"/>
      <c r="E17" s="24"/>
      <c r="F17" s="100"/>
      <c r="G17" s="91"/>
      <c r="H17" s="91"/>
      <c r="I17" s="91"/>
      <c r="J17" s="91"/>
      <c r="K17" s="91"/>
    </row>
    <row r="18" spans="2:11" x14ac:dyDescent="0.15">
      <c r="B18" s="1" t="s">
        <v>14</v>
      </c>
      <c r="D18" s="24">
        <v>12.8</v>
      </c>
      <c r="E18" s="24">
        <v>11.4</v>
      </c>
      <c r="F18" s="100">
        <v>5.9</v>
      </c>
      <c r="G18" s="91">
        <f ca="1">G131</f>
        <v>2.3431005228463873</v>
      </c>
      <c r="H18" s="91">
        <f t="shared" ref="H18:K18" ca="1" si="13">H131</f>
        <v>0</v>
      </c>
      <c r="I18" s="91">
        <f t="shared" ca="1" si="13"/>
        <v>0</v>
      </c>
      <c r="J18" s="91">
        <f t="shared" ca="1" si="13"/>
        <v>0</v>
      </c>
      <c r="K18" s="91">
        <f t="shared" ca="1" si="13"/>
        <v>0</v>
      </c>
    </row>
    <row r="19" spans="2:11" x14ac:dyDescent="0.15">
      <c r="B19" s="1" t="s">
        <v>15</v>
      </c>
      <c r="D19" s="24">
        <v>-35.700000000000003</v>
      </c>
      <c r="E19" s="24">
        <v>-29.6</v>
      </c>
      <c r="F19" s="100">
        <v>-44.5</v>
      </c>
      <c r="G19" s="91">
        <f ca="1">-G129</f>
        <v>-35.758831218458262</v>
      </c>
      <c r="H19" s="91">
        <f t="shared" ref="H19:K19" ca="1" si="14">-H129</f>
        <v>-38.825115638981472</v>
      </c>
      <c r="I19" s="91">
        <f t="shared" ca="1" si="14"/>
        <v>-46.715904296281245</v>
      </c>
      <c r="J19" s="91">
        <f t="shared" ca="1" si="14"/>
        <v>-54.393188868709963</v>
      </c>
      <c r="K19" s="91">
        <f t="shared" ca="1" si="14"/>
        <v>-61.829559223312216</v>
      </c>
    </row>
    <row r="20" spans="2:11" x14ac:dyDescent="0.15">
      <c r="B20" s="1" t="s">
        <v>16</v>
      </c>
      <c r="D20" s="25">
        <v>12</v>
      </c>
      <c r="E20" s="25">
        <v>2</v>
      </c>
      <c r="F20" s="99">
        <v>10.199999999999999</v>
      </c>
      <c r="G20" s="92">
        <f>Assumptions!G11</f>
        <v>8.0666666666666664</v>
      </c>
      <c r="H20" s="92">
        <f>Assumptions!H11</f>
        <v>8.0666666666666664</v>
      </c>
      <c r="I20" s="92">
        <f>Assumptions!I11</f>
        <v>8.0666666666666664</v>
      </c>
      <c r="J20" s="92">
        <f>Assumptions!J11</f>
        <v>8.0666666666666664</v>
      </c>
      <c r="K20" s="92">
        <f>Assumptions!K11</f>
        <v>8.0666666666666664</v>
      </c>
    </row>
    <row r="21" spans="2:11" ht="5.0999999999999996" customHeight="1" x14ac:dyDescent="0.15">
      <c r="D21" s="24"/>
      <c r="E21" s="24"/>
      <c r="F21" s="100"/>
      <c r="G21" s="91"/>
      <c r="H21" s="91"/>
      <c r="I21" s="91"/>
      <c r="J21" s="91"/>
      <c r="K21" s="91"/>
    </row>
    <row r="22" spans="2:11" x14ac:dyDescent="0.15">
      <c r="B22" s="18" t="s">
        <v>17</v>
      </c>
      <c r="D22" s="24">
        <f>SUM(D16:D20)</f>
        <v>472.8000000000003</v>
      </c>
      <c r="E22" s="24">
        <f t="shared" ref="E22" si="15">SUM(E16:E20)</f>
        <v>542.09999999999991</v>
      </c>
      <c r="F22" s="100">
        <f>SUM(F16:F20)</f>
        <v>321.4999999999996</v>
      </c>
      <c r="G22" s="24">
        <f ca="1">SUM(G16:G20)</f>
        <v>485.05975095116617</v>
      </c>
      <c r="H22" s="24">
        <f t="shared" ref="H22:K22" ca="1" si="16">SUM(H16:H20)</f>
        <v>502.86192054634478</v>
      </c>
      <c r="I22" s="24">
        <f t="shared" ca="1" si="16"/>
        <v>519.23826432570797</v>
      </c>
      <c r="J22" s="24">
        <f t="shared" ca="1" si="16"/>
        <v>536.93169396893234</v>
      </c>
      <c r="K22" s="24">
        <f t="shared" ca="1" si="16"/>
        <v>556.01980653345072</v>
      </c>
    </row>
    <row r="23" spans="2:11" ht="5.0999999999999996" customHeight="1" x14ac:dyDescent="0.15">
      <c r="D23" s="24"/>
      <c r="E23" s="24"/>
      <c r="F23" s="100"/>
      <c r="G23" s="91"/>
      <c r="H23" s="91"/>
      <c r="I23" s="91"/>
      <c r="J23" s="91"/>
      <c r="K23" s="91"/>
    </row>
    <row r="24" spans="2:11" x14ac:dyDescent="0.15">
      <c r="B24" s="1" t="s">
        <v>18</v>
      </c>
      <c r="D24" s="25">
        <v>174.3</v>
      </c>
      <c r="E24" s="25">
        <v>204.9</v>
      </c>
      <c r="F24" s="99">
        <v>51.6</v>
      </c>
      <c r="G24" s="92">
        <f ca="1">G22*Assumptions!G12</f>
        <v>146.67027089658214</v>
      </c>
      <c r="H24" s="92">
        <f ca="1">H22*Assumptions!H12</f>
        <v>152.05321399163728</v>
      </c>
      <c r="I24" s="92">
        <f ca="1">I22*Assumptions!I12</f>
        <v>157.00502203941855</v>
      </c>
      <c r="J24" s="92">
        <f ca="1">J22*Assumptions!J12</f>
        <v>162.35508481781343</v>
      </c>
      <c r="K24" s="92">
        <f ca="1">K22*Assumptions!K12</f>
        <v>168.12686578964721</v>
      </c>
    </row>
    <row r="25" spans="2:11" x14ac:dyDescent="0.15">
      <c r="B25" s="28" t="s">
        <v>19</v>
      </c>
      <c r="D25" s="24">
        <f>D22-D24</f>
        <v>298.50000000000028</v>
      </c>
      <c r="E25" s="24">
        <f t="shared" ref="E25" si="17">E22-E24</f>
        <v>337.19999999999993</v>
      </c>
      <c r="F25" s="100">
        <f>F22-F24</f>
        <v>269.89999999999958</v>
      </c>
      <c r="G25" s="24">
        <f ca="1">G22-G24</f>
        <v>338.38948005458406</v>
      </c>
      <c r="H25" s="24">
        <f t="shared" ref="H25:K25" ca="1" si="18">H22-H24</f>
        <v>350.8087065547075</v>
      </c>
      <c r="I25" s="24">
        <f t="shared" ca="1" si="18"/>
        <v>362.2332422862894</v>
      </c>
      <c r="J25" s="24">
        <f t="shared" ca="1" si="18"/>
        <v>374.57660915111887</v>
      </c>
      <c r="K25" s="24">
        <f t="shared" ca="1" si="18"/>
        <v>387.89294074380348</v>
      </c>
    </row>
    <row r="26" spans="2:11" ht="5.0999999999999996" customHeight="1" x14ac:dyDescent="0.15">
      <c r="B26" s="14"/>
      <c r="D26" s="24"/>
      <c r="E26" s="24"/>
      <c r="F26" s="100"/>
      <c r="G26" s="91"/>
      <c r="H26" s="91"/>
      <c r="I26" s="91"/>
      <c r="J26" s="91"/>
      <c r="K26" s="91"/>
    </row>
    <row r="27" spans="2:11" x14ac:dyDescent="0.15">
      <c r="B27" s="14" t="s">
        <v>20</v>
      </c>
      <c r="D27" s="25">
        <v>0</v>
      </c>
      <c r="E27" s="25">
        <v>0</v>
      </c>
      <c r="F27" s="99">
        <v>-2.9</v>
      </c>
      <c r="G27" s="93">
        <v>0</v>
      </c>
      <c r="H27" s="92">
        <v>0</v>
      </c>
      <c r="I27" s="92">
        <v>0</v>
      </c>
      <c r="J27" s="92">
        <v>0</v>
      </c>
      <c r="K27" s="92">
        <v>0</v>
      </c>
    </row>
    <row r="28" spans="2:11" x14ac:dyDescent="0.15">
      <c r="B28" s="18" t="s">
        <v>21</v>
      </c>
      <c r="D28" s="15">
        <f>D25+D27</f>
        <v>298.50000000000028</v>
      </c>
      <c r="E28" s="15">
        <f t="shared" ref="E28" si="19">E25+E27</f>
        <v>337.19999999999993</v>
      </c>
      <c r="F28" s="101">
        <f>F25+F27</f>
        <v>266.9999999999996</v>
      </c>
      <c r="G28" s="15">
        <f ca="1">G25+G27</f>
        <v>338.38948005458406</v>
      </c>
      <c r="H28" s="15">
        <f t="shared" ref="H28:K28" ca="1" si="20">H25+H27</f>
        <v>350.8087065547075</v>
      </c>
      <c r="I28" s="15">
        <f t="shared" ca="1" si="20"/>
        <v>362.2332422862894</v>
      </c>
      <c r="J28" s="15">
        <f t="shared" ca="1" si="20"/>
        <v>374.57660915111887</v>
      </c>
      <c r="K28" s="15">
        <f t="shared" ca="1" si="20"/>
        <v>387.89294074380348</v>
      </c>
    </row>
    <row r="29" spans="2:11" x14ac:dyDescent="0.15">
      <c r="D29" s="24"/>
      <c r="E29" s="24"/>
      <c r="F29" s="100"/>
      <c r="G29" s="91"/>
      <c r="H29" s="91"/>
      <c r="I29" s="91"/>
      <c r="J29" s="91"/>
      <c r="K29" s="91"/>
    </row>
    <row r="30" spans="2:11" x14ac:dyDescent="0.15">
      <c r="D30" s="24"/>
      <c r="E30" s="24"/>
      <c r="F30" s="100"/>
      <c r="G30" s="91"/>
      <c r="H30" s="91"/>
      <c r="I30" s="91"/>
      <c r="J30" s="91"/>
      <c r="K30" s="91"/>
    </row>
    <row r="31" spans="2:11" x14ac:dyDescent="0.15">
      <c r="D31" s="24"/>
      <c r="E31" s="24"/>
      <c r="F31" s="100"/>
      <c r="G31" s="91"/>
      <c r="H31" s="91"/>
      <c r="I31" s="91"/>
      <c r="J31" s="91"/>
      <c r="K31" s="91"/>
    </row>
    <row r="32" spans="2:11" x14ac:dyDescent="0.15">
      <c r="B32" s="12" t="s">
        <v>22</v>
      </c>
      <c r="D32" s="24"/>
      <c r="E32" s="24"/>
      <c r="F32" s="100"/>
      <c r="G32" s="91"/>
      <c r="H32" s="91"/>
      <c r="I32" s="91"/>
      <c r="J32" s="91"/>
      <c r="K32" s="91"/>
    </row>
    <row r="33" spans="2:11" x14ac:dyDescent="0.15">
      <c r="B33" s="18" t="s">
        <v>23</v>
      </c>
      <c r="D33" s="24"/>
      <c r="E33" s="24"/>
      <c r="F33" s="100"/>
      <c r="G33" s="91"/>
      <c r="H33" s="91"/>
      <c r="I33" s="91"/>
      <c r="J33" s="91"/>
      <c r="K33" s="91"/>
    </row>
    <row r="34" spans="2:11" x14ac:dyDescent="0.15">
      <c r="B34" s="1" t="s">
        <v>24</v>
      </c>
      <c r="D34" s="24"/>
      <c r="E34" s="24"/>
      <c r="F34" s="100"/>
      <c r="G34" s="91"/>
      <c r="H34" s="91"/>
      <c r="I34" s="91"/>
      <c r="J34" s="91"/>
      <c r="K34" s="91"/>
    </row>
    <row r="35" spans="2:11" x14ac:dyDescent="0.15">
      <c r="B35" s="16" t="s">
        <v>25</v>
      </c>
      <c r="E35" s="15">
        <v>437.9</v>
      </c>
      <c r="F35" s="101">
        <v>224</v>
      </c>
      <c r="G35" s="90">
        <f ca="1">G110</f>
        <v>0</v>
      </c>
      <c r="H35" s="90">
        <f t="shared" ref="H35:K35" ca="1" si="21">H110</f>
        <v>0</v>
      </c>
      <c r="I35" s="90">
        <f t="shared" ca="1" si="21"/>
        <v>0</v>
      </c>
      <c r="J35" s="90">
        <f t="shared" ca="1" si="21"/>
        <v>0</v>
      </c>
      <c r="K35" s="90">
        <f t="shared" ca="1" si="21"/>
        <v>0</v>
      </c>
    </row>
    <row r="36" spans="2:11" x14ac:dyDescent="0.15">
      <c r="B36" s="16" t="s">
        <v>26</v>
      </c>
      <c r="E36" s="24">
        <v>241</v>
      </c>
      <c r="F36" s="100">
        <v>309.39999999999998</v>
      </c>
      <c r="G36" s="91">
        <f>Assumptions!G16*Model!G7/365</f>
        <v>293.97350506808289</v>
      </c>
      <c r="H36" s="91">
        <f>Assumptions!H16*Model!H7/365</f>
        <v>307.34236125847184</v>
      </c>
      <c r="I36" s="91">
        <f>Assumptions!I16*Model!I7/365</f>
        <v>321.3191848770748</v>
      </c>
      <c r="J36" s="91">
        <f>Assumptions!J16*Model!J7/365</f>
        <v>335.93162409277812</v>
      </c>
      <c r="K36" s="91">
        <f>Assumptions!K16*Model!K7/365</f>
        <v>351.20858441360713</v>
      </c>
    </row>
    <row r="37" spans="2:11" x14ac:dyDescent="0.15">
      <c r="B37" s="16" t="s">
        <v>27</v>
      </c>
      <c r="E37" s="24">
        <v>1003.7</v>
      </c>
      <c r="F37" s="100">
        <v>964.9</v>
      </c>
      <c r="G37" s="91">
        <f>Assumptions!G17*Model!G8/365</f>
        <v>1049.1253320345763</v>
      </c>
      <c r="H37" s="91">
        <f>Assumptions!H17*Model!H8/365</f>
        <v>1096.8357734446483</v>
      </c>
      <c r="I37" s="91">
        <f>Assumptions!I17*Model!I8/365</f>
        <v>1146.7159138887998</v>
      </c>
      <c r="J37" s="91">
        <f>Assumptions!J17*Model!J8/365</f>
        <v>1198.86442346438</v>
      </c>
      <c r="K37" s="91">
        <f>Assumptions!K17*Model!K8/365</f>
        <v>1253.3844594293796</v>
      </c>
    </row>
    <row r="38" spans="2:11" x14ac:dyDescent="0.15">
      <c r="B38" s="16" t="s">
        <v>28</v>
      </c>
      <c r="E38" s="25">
        <v>92.5</v>
      </c>
      <c r="F38" s="99">
        <v>129</v>
      </c>
      <c r="G38" s="92">
        <f>Assumptions!G18*Model!G7</f>
        <v>118.18859419723033</v>
      </c>
      <c r="H38" s="92">
        <f>Assumptions!H18*Model!H7</f>
        <v>123.56338577513486</v>
      </c>
      <c r="I38" s="92">
        <f>Assumptions!I18*Model!I7</f>
        <v>129.182603515328</v>
      </c>
      <c r="J38" s="92">
        <f>Assumptions!J18*Model!J7</f>
        <v>135.0573630393078</v>
      </c>
      <c r="K38" s="92">
        <f>Assumptions!K18*Model!K7</f>
        <v>141.19928546700243</v>
      </c>
    </row>
    <row r="39" spans="2:11" ht="5.0999999999999996" customHeight="1" x14ac:dyDescent="0.15">
      <c r="E39" s="24"/>
      <c r="F39" s="100"/>
      <c r="G39" s="91"/>
      <c r="H39" s="91"/>
      <c r="I39" s="91"/>
      <c r="J39" s="91"/>
      <c r="K39" s="91"/>
    </row>
    <row r="40" spans="2:11" x14ac:dyDescent="0.15">
      <c r="B40" s="19" t="s">
        <v>29</v>
      </c>
      <c r="E40" s="24">
        <f>SUM(E35:E38)</f>
        <v>1775.1</v>
      </c>
      <c r="F40" s="100">
        <f>SUM(F35:F38)</f>
        <v>1627.3</v>
      </c>
      <c r="G40" s="24">
        <f ca="1">SUM(G35:G38)</f>
        <v>1461.2874312998895</v>
      </c>
      <c r="H40" s="24">
        <f t="shared" ref="H40:K40" ca="1" si="22">SUM(H35:H38)</f>
        <v>1527.7415204782551</v>
      </c>
      <c r="I40" s="24">
        <f t="shared" ca="1" si="22"/>
        <v>1597.2177022812027</v>
      </c>
      <c r="J40" s="24">
        <f t="shared" ca="1" si="22"/>
        <v>1669.8534105964659</v>
      </c>
      <c r="K40" s="24">
        <f t="shared" ca="1" si="22"/>
        <v>1745.7923293099893</v>
      </c>
    </row>
    <row r="41" spans="2:11" ht="5.0999999999999996" customHeight="1" x14ac:dyDescent="0.15">
      <c r="E41" s="24"/>
      <c r="F41" s="100"/>
      <c r="G41" s="91"/>
      <c r="H41" s="91"/>
      <c r="I41" s="91"/>
      <c r="J41" s="91"/>
      <c r="K41" s="91"/>
    </row>
    <row r="42" spans="2:11" x14ac:dyDescent="0.15">
      <c r="B42" s="1" t="s">
        <v>30</v>
      </c>
      <c r="E42" s="24">
        <v>652</v>
      </c>
      <c r="F42" s="100">
        <v>476.2</v>
      </c>
      <c r="G42" s="91">
        <f>F42-G92-G93-G13</f>
        <v>576.54338578430861</v>
      </c>
      <c r="H42" s="91">
        <f t="shared" ref="H42:K42" si="23">G42-H92-H93-H13</f>
        <v>681.45002734194429</v>
      </c>
      <c r="I42" s="91">
        <f t="shared" si="23"/>
        <v>791.1274451097554</v>
      </c>
      <c r="J42" s="91">
        <f t="shared" si="23"/>
        <v>905.79259680662085</v>
      </c>
      <c r="K42" s="91">
        <f t="shared" si="23"/>
        <v>1025.6723066070456</v>
      </c>
    </row>
    <row r="43" spans="2:11" x14ac:dyDescent="0.15">
      <c r="B43" s="1" t="s">
        <v>31</v>
      </c>
      <c r="E43" s="25">
        <v>89.6</v>
      </c>
      <c r="F43" s="99">
        <v>101.6</v>
      </c>
      <c r="G43" s="92">
        <f>F43-G96</f>
        <v>110.33333333333333</v>
      </c>
      <c r="H43" s="92">
        <f t="shared" ref="H43:K43" si="24">G43-H96</f>
        <v>119.06666666666666</v>
      </c>
      <c r="I43" s="92">
        <f t="shared" si="24"/>
        <v>127.8</v>
      </c>
      <c r="J43" s="92">
        <f t="shared" si="24"/>
        <v>136.53333333333333</v>
      </c>
      <c r="K43" s="92">
        <f t="shared" si="24"/>
        <v>145.26666666666665</v>
      </c>
    </row>
    <row r="44" spans="2:11" x14ac:dyDescent="0.15">
      <c r="B44" s="19" t="s">
        <v>32</v>
      </c>
      <c r="E44" s="15">
        <f>SUM(E40:E43)</f>
        <v>2516.6999999999998</v>
      </c>
      <c r="F44" s="101">
        <f>SUM(F40:F43)</f>
        <v>2205.1</v>
      </c>
      <c r="G44" s="15">
        <f ca="1">SUM(G40:G43)</f>
        <v>2148.1641504175313</v>
      </c>
      <c r="H44" s="15">
        <f ca="1">SUM(H40:H43)</f>
        <v>2328.2582144868661</v>
      </c>
      <c r="I44" s="15">
        <f t="shared" ref="H44:K44" ca="1" si="25">SUM(I40:I43)</f>
        <v>2516.1451473909583</v>
      </c>
      <c r="J44" s="15">
        <f t="shared" ca="1" si="25"/>
        <v>2712.1793407364198</v>
      </c>
      <c r="K44" s="15">
        <f t="shared" ca="1" si="25"/>
        <v>2916.7313025837011</v>
      </c>
    </row>
    <row r="45" spans="2:11" ht="5.0999999999999996" customHeight="1" x14ac:dyDescent="0.15">
      <c r="E45" s="24"/>
      <c r="F45" s="100"/>
      <c r="G45" s="91"/>
      <c r="H45" s="91"/>
      <c r="I45" s="91"/>
      <c r="J45" s="91"/>
      <c r="K45" s="91"/>
    </row>
    <row r="46" spans="2:11" x14ac:dyDescent="0.15">
      <c r="B46" s="18" t="s">
        <v>33</v>
      </c>
      <c r="E46" s="24"/>
      <c r="F46" s="100"/>
      <c r="G46" s="91"/>
      <c r="H46" s="91"/>
      <c r="I46" s="91"/>
      <c r="J46" s="91"/>
      <c r="K46" s="91"/>
    </row>
    <row r="47" spans="2:11" x14ac:dyDescent="0.15">
      <c r="B47" s="1" t="s">
        <v>34</v>
      </c>
      <c r="E47" s="24"/>
      <c r="F47" s="100"/>
      <c r="G47" s="91"/>
      <c r="H47" s="91"/>
      <c r="I47" s="91"/>
      <c r="J47" s="91"/>
      <c r="K47" s="91"/>
    </row>
    <row r="48" spans="2:11" x14ac:dyDescent="0.15">
      <c r="B48" s="16" t="s">
        <v>35</v>
      </c>
      <c r="E48" s="15">
        <v>55.6</v>
      </c>
      <c r="F48" s="101">
        <v>40.9</v>
      </c>
      <c r="G48" s="90">
        <f ca="1">G118</f>
        <v>3.7332487383305519</v>
      </c>
      <c r="H48" s="90">
        <f t="shared" ref="H48:K48" ca="1" si="26">H118</f>
        <v>163.55137682092823</v>
      </c>
      <c r="I48" s="90">
        <f t="shared" ca="1" si="26"/>
        <v>319.36479503032143</v>
      </c>
      <c r="J48" s="90">
        <f t="shared" ca="1" si="26"/>
        <v>470.64275971807706</v>
      </c>
      <c r="K48" s="90">
        <f t="shared" ca="1" si="26"/>
        <v>616.81960921441168</v>
      </c>
    </row>
    <row r="49" spans="2:12" x14ac:dyDescent="0.15">
      <c r="B49" s="16" t="s">
        <v>36</v>
      </c>
      <c r="E49" s="24">
        <v>442.2</v>
      </c>
      <c r="F49" s="100">
        <v>490.9</v>
      </c>
      <c r="G49" s="91">
        <f>Assumptions!G19*Model!G8/365</f>
        <v>495.1840100802616</v>
      </c>
      <c r="H49" s="91">
        <f>Assumptions!H19*Model!H8/365</f>
        <v>517.70319532795907</v>
      </c>
      <c r="I49" s="91">
        <f>Assumptions!I19*Model!I8/365</f>
        <v>541.24647201216715</v>
      </c>
      <c r="J49" s="91">
        <f>Assumptions!J19*Model!J8/365</f>
        <v>565.86041212289331</v>
      </c>
      <c r="K49" s="91">
        <f>Assumptions!K19*Model!K8/365</f>
        <v>591.59370557650971</v>
      </c>
    </row>
    <row r="50" spans="2:12" x14ac:dyDescent="0.15">
      <c r="B50" s="16" t="s">
        <v>37</v>
      </c>
      <c r="E50" s="24">
        <v>342.1</v>
      </c>
      <c r="F50" s="100">
        <v>379.5</v>
      </c>
      <c r="G50" s="91">
        <f>Assumptions!G20*Model!G7</f>
        <v>386.09169665575303</v>
      </c>
      <c r="H50" s="91">
        <f>Assumptions!H20*Model!H7</f>
        <v>403.64975641252812</v>
      </c>
      <c r="I50" s="91">
        <f>Assumptions!I20*Model!I7</f>
        <v>422.00629348723777</v>
      </c>
      <c r="J50" s="91">
        <f>Assumptions!J20*Model!J7</f>
        <v>441.19761975238316</v>
      </c>
      <c r="K50" s="91">
        <f>Assumptions!K20*Model!K7</f>
        <v>461.26169841364032</v>
      </c>
    </row>
    <row r="51" spans="2:12" x14ac:dyDescent="0.15">
      <c r="B51" s="16" t="s">
        <v>38</v>
      </c>
      <c r="E51" s="25">
        <v>117.5</v>
      </c>
      <c r="F51" s="99">
        <v>75</v>
      </c>
      <c r="G51" s="92">
        <f>F51</f>
        <v>75</v>
      </c>
      <c r="H51" s="92">
        <f t="shared" ref="H51:K51" si="27">G51</f>
        <v>75</v>
      </c>
      <c r="I51" s="92">
        <f t="shared" si="27"/>
        <v>75</v>
      </c>
      <c r="J51" s="92">
        <f t="shared" si="27"/>
        <v>75</v>
      </c>
      <c r="K51" s="92">
        <f t="shared" si="27"/>
        <v>75</v>
      </c>
    </row>
    <row r="52" spans="2:12" ht="5.0999999999999996" customHeight="1" x14ac:dyDescent="0.15">
      <c r="E52" s="24"/>
      <c r="F52" s="100"/>
      <c r="G52" s="91"/>
      <c r="H52" s="91"/>
      <c r="I52" s="91"/>
      <c r="J52" s="91"/>
      <c r="K52" s="91"/>
    </row>
    <row r="53" spans="2:12" x14ac:dyDescent="0.15">
      <c r="B53" s="19" t="s">
        <v>39</v>
      </c>
      <c r="E53" s="24">
        <f>SUM(E48:E51)</f>
        <v>957.40000000000009</v>
      </c>
      <c r="F53" s="100">
        <f>SUM(F48:F51)</f>
        <v>986.3</v>
      </c>
      <c r="G53" s="24">
        <f ca="1">SUM(G48:G51)</f>
        <v>960.00895547434516</v>
      </c>
      <c r="H53" s="24">
        <f t="shared" ref="H53:K53" ca="1" si="28">SUM(H48:H51)</f>
        <v>1159.9043285614155</v>
      </c>
      <c r="I53" s="24">
        <f t="shared" ca="1" si="28"/>
        <v>1357.6175605297265</v>
      </c>
      <c r="J53" s="24">
        <f t="shared" ca="1" si="28"/>
        <v>1552.7007915933536</v>
      </c>
      <c r="K53" s="24">
        <f t="shared" ca="1" si="28"/>
        <v>1744.6750132045618</v>
      </c>
    </row>
    <row r="54" spans="2:12" ht="5.0999999999999996" customHeight="1" x14ac:dyDescent="0.15">
      <c r="E54" s="24"/>
      <c r="F54" s="100"/>
      <c r="G54" s="91"/>
      <c r="H54" s="91"/>
      <c r="I54" s="91"/>
      <c r="J54" s="91"/>
      <c r="K54" s="91"/>
    </row>
    <row r="55" spans="2:12" x14ac:dyDescent="0.15">
      <c r="B55" s="1" t="s">
        <v>40</v>
      </c>
      <c r="E55" s="24">
        <v>506.9</v>
      </c>
      <c r="F55" s="100">
        <v>494.9</v>
      </c>
      <c r="G55" s="91">
        <f>G125</f>
        <v>494.9</v>
      </c>
      <c r="H55" s="91">
        <f t="shared" ref="H55:K55" si="29">H125</f>
        <v>494.9</v>
      </c>
      <c r="I55" s="91">
        <f t="shared" si="29"/>
        <v>494.9</v>
      </c>
      <c r="J55" s="91">
        <f t="shared" si="29"/>
        <v>494.9</v>
      </c>
      <c r="K55" s="91">
        <f t="shared" si="29"/>
        <v>494.9</v>
      </c>
    </row>
    <row r="56" spans="2:12" x14ac:dyDescent="0.15">
      <c r="B56" s="1" t="s">
        <v>41</v>
      </c>
      <c r="E56" s="25">
        <v>130.30000000000001</v>
      </c>
      <c r="F56" s="99">
        <v>135.1</v>
      </c>
      <c r="G56" s="92">
        <f>Model!F56</f>
        <v>135.1</v>
      </c>
      <c r="H56" s="92">
        <f>Model!G56</f>
        <v>135.1</v>
      </c>
      <c r="I56" s="92">
        <f>Model!H56</f>
        <v>135.1</v>
      </c>
      <c r="J56" s="92">
        <f>Model!I56</f>
        <v>135.1</v>
      </c>
      <c r="K56" s="92">
        <f>Model!J56</f>
        <v>135.1</v>
      </c>
    </row>
    <row r="57" spans="2:12" ht="5.0999999999999996" customHeight="1" x14ac:dyDescent="0.15">
      <c r="E57" s="24"/>
      <c r="F57" s="100"/>
      <c r="G57" s="91"/>
      <c r="H57" s="91"/>
      <c r="I57" s="91"/>
      <c r="J57" s="91"/>
      <c r="K57" s="91"/>
    </row>
    <row r="58" spans="2:12" x14ac:dyDescent="0.15">
      <c r="B58" s="19" t="s">
        <v>42</v>
      </c>
      <c r="E58" s="24">
        <f>SUM(E53:E56)</f>
        <v>1594.6000000000001</v>
      </c>
      <c r="F58" s="100">
        <f>SUM(F53:F56)</f>
        <v>1616.2999999999997</v>
      </c>
      <c r="G58" s="24">
        <f ca="1">SUM(G53:G56)</f>
        <v>1590.0089554743449</v>
      </c>
      <c r="H58" s="24">
        <f t="shared" ref="H58:K58" ca="1" si="30">SUM(H53:H56)</f>
        <v>1789.9043285614152</v>
      </c>
      <c r="I58" s="24">
        <f t="shared" ca="1" si="30"/>
        <v>1987.6175605297262</v>
      </c>
      <c r="J58" s="24">
        <f t="shared" ca="1" si="30"/>
        <v>2182.7007915933536</v>
      </c>
      <c r="K58" s="24">
        <f t="shared" ca="1" si="30"/>
        <v>2374.6750132045618</v>
      </c>
    </row>
    <row r="59" spans="2:12" ht="5.0999999999999996" customHeight="1" x14ac:dyDescent="0.15">
      <c r="E59" s="24"/>
      <c r="F59" s="100"/>
      <c r="G59" s="91"/>
      <c r="H59" s="91"/>
      <c r="I59" s="91"/>
      <c r="J59" s="91"/>
      <c r="K59" s="91"/>
    </row>
    <row r="60" spans="2:12" x14ac:dyDescent="0.15">
      <c r="B60" s="1" t="s">
        <v>54</v>
      </c>
      <c r="E60" s="24"/>
      <c r="F60" s="100"/>
      <c r="G60" s="91"/>
      <c r="H60" s="91"/>
      <c r="I60" s="91"/>
      <c r="J60" s="91"/>
      <c r="K60" s="91"/>
    </row>
    <row r="61" spans="2:12" x14ac:dyDescent="0.15">
      <c r="B61" s="16" t="s">
        <v>43</v>
      </c>
      <c r="E61" s="24">
        <v>0</v>
      </c>
      <c r="F61" s="100">
        <v>0</v>
      </c>
      <c r="G61" s="91">
        <f>F61</f>
        <v>0</v>
      </c>
      <c r="H61" s="91">
        <f t="shared" ref="H61:K61" si="31">G61</f>
        <v>0</v>
      </c>
      <c r="I61" s="91">
        <f t="shared" si="31"/>
        <v>0</v>
      </c>
      <c r="J61" s="91">
        <f t="shared" si="31"/>
        <v>0</v>
      </c>
      <c r="K61" s="91">
        <f t="shared" si="31"/>
        <v>0</v>
      </c>
      <c r="L61" s="86"/>
    </row>
    <row r="62" spans="2:12" x14ac:dyDescent="0.15">
      <c r="B62" s="16" t="s">
        <v>44</v>
      </c>
      <c r="E62" s="24">
        <v>0</v>
      </c>
      <c r="F62" s="100">
        <v>0</v>
      </c>
      <c r="G62" s="91">
        <f>F62</f>
        <v>0</v>
      </c>
      <c r="H62" s="91">
        <f t="shared" ref="H62:K62" si="32">G62</f>
        <v>0</v>
      </c>
      <c r="I62" s="91">
        <f t="shared" si="32"/>
        <v>0</v>
      </c>
      <c r="J62" s="91">
        <f t="shared" si="32"/>
        <v>0</v>
      </c>
      <c r="K62" s="91">
        <f t="shared" si="32"/>
        <v>0</v>
      </c>
      <c r="L62" s="86"/>
    </row>
    <row r="63" spans="2:12" x14ac:dyDescent="0.15">
      <c r="B63" s="16" t="s">
        <v>45</v>
      </c>
      <c r="E63" s="24">
        <v>191</v>
      </c>
      <c r="F63" s="100">
        <v>191</v>
      </c>
      <c r="G63" s="91">
        <f>F63</f>
        <v>191</v>
      </c>
      <c r="H63" s="91">
        <f t="shared" ref="H63:K63" si="33">G63</f>
        <v>191</v>
      </c>
      <c r="I63" s="91">
        <f t="shared" si="33"/>
        <v>191</v>
      </c>
      <c r="J63" s="91">
        <f t="shared" si="33"/>
        <v>191</v>
      </c>
      <c r="K63" s="91">
        <f t="shared" si="33"/>
        <v>191</v>
      </c>
      <c r="L63" s="86"/>
    </row>
    <row r="64" spans="2:12" x14ac:dyDescent="0.15">
      <c r="B64" s="16" t="s">
        <v>46</v>
      </c>
      <c r="E64" s="24">
        <v>82.7</v>
      </c>
      <c r="F64" s="100">
        <v>88.2</v>
      </c>
      <c r="G64" s="91">
        <f>F64</f>
        <v>88.2</v>
      </c>
      <c r="H64" s="91">
        <f t="shared" ref="H64:K64" si="34">G64</f>
        <v>88.2</v>
      </c>
      <c r="I64" s="91">
        <f t="shared" si="34"/>
        <v>88.2</v>
      </c>
      <c r="J64" s="91">
        <f t="shared" si="34"/>
        <v>88.2</v>
      </c>
      <c r="K64" s="91">
        <f t="shared" si="34"/>
        <v>88.2</v>
      </c>
      <c r="L64" s="86"/>
    </row>
    <row r="65" spans="2:12" x14ac:dyDescent="0.15">
      <c r="B65" s="16" t="s">
        <v>47</v>
      </c>
      <c r="E65" s="24">
        <v>1508.1</v>
      </c>
      <c r="F65" s="100">
        <v>1741.4</v>
      </c>
      <c r="G65" s="91">
        <f ca="1">F65+G28+G103</f>
        <v>2036.8551949431862</v>
      </c>
      <c r="H65" s="91">
        <f t="shared" ref="H65:K65" ca="1" si="35">G65+H28+H103</f>
        <v>2343.1538859254506</v>
      </c>
      <c r="I65" s="91">
        <f t="shared" ca="1" si="35"/>
        <v>2659.4275868612317</v>
      </c>
      <c r="J65" s="91">
        <f t="shared" ca="1" si="35"/>
        <v>2986.4785491430666</v>
      </c>
      <c r="K65" s="91">
        <f t="shared" ca="1" si="35"/>
        <v>3325.1562893791397</v>
      </c>
      <c r="L65" s="86"/>
    </row>
    <row r="66" spans="2:12" x14ac:dyDescent="0.15">
      <c r="B66" s="16" t="s">
        <v>48</v>
      </c>
      <c r="E66" s="24">
        <v>-859.4</v>
      </c>
      <c r="F66" s="100">
        <v>-1431.6</v>
      </c>
      <c r="G66" s="91">
        <f>F66+G100+G101+G102</f>
        <v>-1757.7</v>
      </c>
      <c r="H66" s="91">
        <f>G66+H100+H101+H102</f>
        <v>-2083.7999999999997</v>
      </c>
      <c r="I66" s="91">
        <f t="shared" ref="H66:K66" si="36">H66+I100+I101+I102</f>
        <v>-2409.8999999999992</v>
      </c>
      <c r="J66" s="91">
        <f t="shared" si="36"/>
        <v>-2735.9999999999986</v>
      </c>
      <c r="K66" s="91">
        <f t="shared" si="36"/>
        <v>-3062.0999999999981</v>
      </c>
      <c r="L66" s="86"/>
    </row>
    <row r="67" spans="2:12" x14ac:dyDescent="0.15">
      <c r="B67" s="16" t="s">
        <v>49</v>
      </c>
      <c r="E67" s="24">
        <v>0</v>
      </c>
      <c r="F67" s="100">
        <v>-0.5</v>
      </c>
      <c r="G67" s="91">
        <f>F67</f>
        <v>-0.5</v>
      </c>
      <c r="H67" s="91">
        <f t="shared" ref="H67:K67" si="37">G67</f>
        <v>-0.5</v>
      </c>
      <c r="I67" s="91">
        <f t="shared" si="37"/>
        <v>-0.5</v>
      </c>
      <c r="J67" s="91">
        <f t="shared" si="37"/>
        <v>-0.5</v>
      </c>
      <c r="K67" s="91">
        <f t="shared" si="37"/>
        <v>-0.5</v>
      </c>
      <c r="L67" s="86"/>
    </row>
    <row r="68" spans="2:12" x14ac:dyDescent="0.15">
      <c r="B68" s="16" t="s">
        <v>50</v>
      </c>
      <c r="E68" s="25">
        <v>-0.3</v>
      </c>
      <c r="F68" s="99">
        <v>0.3</v>
      </c>
      <c r="G68" s="91">
        <f>F68</f>
        <v>0.3</v>
      </c>
      <c r="H68" s="91">
        <f t="shared" ref="H68:K68" si="38">G68</f>
        <v>0.3</v>
      </c>
      <c r="I68" s="91">
        <f t="shared" si="38"/>
        <v>0.3</v>
      </c>
      <c r="J68" s="91">
        <f t="shared" si="38"/>
        <v>0.3</v>
      </c>
      <c r="K68" s="91">
        <f t="shared" si="38"/>
        <v>0.3</v>
      </c>
      <c r="L68" s="86"/>
    </row>
    <row r="69" spans="2:12" x14ac:dyDescent="0.15">
      <c r="B69" s="19" t="s">
        <v>51</v>
      </c>
      <c r="E69" s="25">
        <f>SUM(E61:E68)</f>
        <v>922.1</v>
      </c>
      <c r="F69" s="99">
        <f>SUM(F61:F68)</f>
        <v>588.80000000000018</v>
      </c>
      <c r="G69" s="25">
        <f ca="1">SUM(G61:G68)</f>
        <v>558.15519494318596</v>
      </c>
      <c r="H69" s="25">
        <f t="shared" ref="H69:K69" ca="1" si="39">SUM(H61:H68)</f>
        <v>538.35388592545064</v>
      </c>
      <c r="I69" s="25">
        <f t="shared" ca="1" si="39"/>
        <v>528.52758686123229</v>
      </c>
      <c r="J69" s="25">
        <f t="shared" ca="1" si="39"/>
        <v>529.47854914306777</v>
      </c>
      <c r="K69" s="25">
        <f t="shared" ca="1" si="39"/>
        <v>542.05628937914139</v>
      </c>
      <c r="L69" s="86"/>
    </row>
    <row r="70" spans="2:12" ht="5.0999999999999996" customHeight="1" x14ac:dyDescent="0.15">
      <c r="B70" s="19"/>
      <c r="E70" s="24"/>
      <c r="F70" s="100"/>
      <c r="G70" s="24"/>
      <c r="H70" s="24"/>
      <c r="I70" s="24"/>
      <c r="J70" s="24"/>
      <c r="K70" s="24"/>
      <c r="L70" s="86"/>
    </row>
    <row r="71" spans="2:12" x14ac:dyDescent="0.15">
      <c r="B71" s="19" t="s">
        <v>52</v>
      </c>
      <c r="E71" s="15">
        <f>E69+E58</f>
        <v>2516.7000000000003</v>
      </c>
      <c r="F71" s="101">
        <f>F69+F58</f>
        <v>2205.1</v>
      </c>
      <c r="G71" s="15">
        <f ca="1">G69+G58</f>
        <v>2148.1641504175309</v>
      </c>
      <c r="H71" s="15">
        <f t="shared" ref="H71:K71" ca="1" si="40">H69+H58</f>
        <v>2328.2582144868657</v>
      </c>
      <c r="I71" s="15">
        <f ca="1">I69+I58</f>
        <v>2516.1451473909583</v>
      </c>
      <c r="J71" s="15">
        <f ca="1">J69+J58</f>
        <v>2712.1793407364212</v>
      </c>
      <c r="K71" s="15">
        <f ca="1">K69+K58</f>
        <v>2916.7313025837029</v>
      </c>
      <c r="L71" s="86"/>
    </row>
    <row r="72" spans="2:12" ht="5.0999999999999996" customHeight="1" x14ac:dyDescent="0.15">
      <c r="E72" s="24"/>
      <c r="F72" s="100"/>
      <c r="G72" s="91"/>
      <c r="H72" s="91"/>
      <c r="I72" s="91"/>
      <c r="J72" s="91"/>
      <c r="K72" s="91"/>
    </row>
    <row r="73" spans="2:12" s="4" customFormat="1" x14ac:dyDescent="0.15">
      <c r="B73" s="4" t="s">
        <v>53</v>
      </c>
      <c r="E73" s="27" t="b">
        <f>E71=E44</f>
        <v>1</v>
      </c>
      <c r="F73" s="102" t="b">
        <f>F71=F44</f>
        <v>1</v>
      </c>
      <c r="G73" s="27" t="b">
        <f ca="1">G71=G44</f>
        <v>1</v>
      </c>
      <c r="H73" s="27" t="b">
        <f ca="1">H71=H44</f>
        <v>1</v>
      </c>
      <c r="I73" s="27" t="b">
        <f ca="1">I71=I44</f>
        <v>1</v>
      </c>
      <c r="J73" s="27" t="b">
        <f ca="1">J71=J44</f>
        <v>1</v>
      </c>
      <c r="K73" s="27" t="b">
        <f ca="1">K71=K44</f>
        <v>1</v>
      </c>
    </row>
    <row r="74" spans="2:12" x14ac:dyDescent="0.15">
      <c r="D74" s="24"/>
      <c r="E74" s="24"/>
      <c r="F74" s="100"/>
      <c r="G74" s="91"/>
      <c r="H74" s="91"/>
      <c r="I74" s="91"/>
      <c r="J74" s="91"/>
      <c r="K74" s="91"/>
    </row>
    <row r="75" spans="2:12" x14ac:dyDescent="0.15">
      <c r="D75" s="24"/>
      <c r="E75" s="24"/>
      <c r="F75" s="100"/>
      <c r="G75" s="91"/>
      <c r="H75" s="91"/>
      <c r="I75" s="91"/>
      <c r="J75" s="91"/>
      <c r="K75" s="91"/>
    </row>
    <row r="76" spans="2:12" x14ac:dyDescent="0.15">
      <c r="D76" s="24"/>
      <c r="E76" s="24"/>
      <c r="F76" s="100"/>
      <c r="G76" s="91"/>
      <c r="H76" s="91"/>
      <c r="I76" s="91"/>
      <c r="J76" s="91"/>
      <c r="K76" s="91"/>
    </row>
    <row r="77" spans="2:12" x14ac:dyDescent="0.15">
      <c r="B77" s="12" t="s">
        <v>55</v>
      </c>
      <c r="D77" s="24"/>
      <c r="E77" s="24"/>
      <c r="F77" s="100"/>
      <c r="G77" s="91"/>
      <c r="H77" s="91"/>
      <c r="I77" s="91"/>
      <c r="J77" s="91"/>
      <c r="K77" s="91"/>
    </row>
    <row r="78" spans="2:12" x14ac:dyDescent="0.15">
      <c r="B78" s="18" t="s">
        <v>56</v>
      </c>
      <c r="D78" s="24"/>
      <c r="E78" s="24"/>
      <c r="F78" s="100"/>
      <c r="G78" s="91"/>
      <c r="H78" s="91"/>
      <c r="I78" s="91"/>
      <c r="J78" s="91"/>
      <c r="K78" s="91"/>
    </row>
    <row r="79" spans="2:12" x14ac:dyDescent="0.15">
      <c r="B79" s="16" t="s">
        <v>21</v>
      </c>
      <c r="D79" s="15">
        <v>298.5</v>
      </c>
      <c r="E79" s="15">
        <v>337.2</v>
      </c>
      <c r="F79" s="101">
        <v>267</v>
      </c>
      <c r="G79" s="90">
        <f ca="1">G28</f>
        <v>338.38948005458406</v>
      </c>
      <c r="H79" s="90">
        <f t="shared" ref="H79:K79" ca="1" si="41">H28</f>
        <v>350.8087065547075</v>
      </c>
      <c r="I79" s="90">
        <f t="shared" ca="1" si="41"/>
        <v>362.2332422862894</v>
      </c>
      <c r="J79" s="90">
        <f t="shared" ca="1" si="41"/>
        <v>374.57660915111887</v>
      </c>
      <c r="K79" s="90">
        <f t="shared" ca="1" si="41"/>
        <v>387.89294074380348</v>
      </c>
    </row>
    <row r="80" spans="2:12" x14ac:dyDescent="0.15">
      <c r="B80" s="16" t="s">
        <v>11</v>
      </c>
      <c r="D80" s="24">
        <v>92</v>
      </c>
      <c r="E80" s="24">
        <v>101.4</v>
      </c>
      <c r="F80" s="100">
        <v>123.8</v>
      </c>
      <c r="G80" s="91">
        <f>G13</f>
        <v>115.27897561604829</v>
      </c>
      <c r="H80" s="91">
        <f t="shared" ref="H80:K80" si="42">H13</f>
        <v>120.52144822060964</v>
      </c>
      <c r="I80" s="91">
        <f t="shared" si="42"/>
        <v>126.00232959713226</v>
      </c>
      <c r="J80" s="91">
        <f t="shared" si="42"/>
        <v>131.73246171787534</v>
      </c>
      <c r="K80" s="91">
        <f t="shared" si="42"/>
        <v>137.72317960894625</v>
      </c>
    </row>
    <row r="81" spans="1:12" x14ac:dyDescent="0.15">
      <c r="B81" s="16" t="s">
        <v>20</v>
      </c>
      <c r="D81" s="24">
        <v>0</v>
      </c>
      <c r="E81" s="24">
        <v>0</v>
      </c>
      <c r="F81" s="100">
        <v>4.7</v>
      </c>
      <c r="G81" s="91">
        <f>G27</f>
        <v>0</v>
      </c>
      <c r="H81" s="91">
        <f t="shared" ref="H81:K81" si="43">H27</f>
        <v>0</v>
      </c>
      <c r="I81" s="91">
        <f t="shared" si="43"/>
        <v>0</v>
      </c>
      <c r="J81" s="91">
        <f t="shared" si="43"/>
        <v>0</v>
      </c>
      <c r="K81" s="91">
        <f t="shared" si="43"/>
        <v>0</v>
      </c>
    </row>
    <row r="82" spans="1:12" x14ac:dyDescent="0.15">
      <c r="B82" s="16" t="s">
        <v>57</v>
      </c>
      <c r="D82" s="24">
        <v>51.7</v>
      </c>
      <c r="E82" s="24">
        <v>50.2</v>
      </c>
      <c r="F82" s="100">
        <v>-76.900000000000006</v>
      </c>
      <c r="G82" s="94">
        <v>0</v>
      </c>
      <c r="H82" s="94">
        <v>0</v>
      </c>
      <c r="I82" s="94">
        <v>0</v>
      </c>
      <c r="J82" s="94">
        <v>0</v>
      </c>
      <c r="K82" s="94">
        <v>0</v>
      </c>
    </row>
    <row r="83" spans="1:12" x14ac:dyDescent="0.15">
      <c r="B83" s="16" t="s">
        <v>58</v>
      </c>
      <c r="D83" s="24">
        <v>0.4</v>
      </c>
      <c r="E83" s="24">
        <v>-0.3</v>
      </c>
      <c r="F83" s="100">
        <v>0.1</v>
      </c>
      <c r="G83" s="94">
        <v>0</v>
      </c>
      <c r="H83" s="94">
        <v>0</v>
      </c>
      <c r="I83" s="94">
        <v>0</v>
      </c>
      <c r="J83" s="94">
        <v>0</v>
      </c>
      <c r="K83" s="94">
        <v>0</v>
      </c>
    </row>
    <row r="84" spans="1:12" x14ac:dyDescent="0.15">
      <c r="B84" s="26" t="s">
        <v>59</v>
      </c>
      <c r="F84" s="103"/>
      <c r="G84" s="91"/>
      <c r="H84" s="91"/>
      <c r="I84" s="91"/>
      <c r="J84" s="91"/>
      <c r="K84" s="91"/>
    </row>
    <row r="85" spans="1:12" x14ac:dyDescent="0.15">
      <c r="B85" s="20" t="s">
        <v>60</v>
      </c>
      <c r="D85" s="24">
        <v>17.2</v>
      </c>
      <c r="E85" s="24">
        <v>-53</v>
      </c>
      <c r="F85" s="100">
        <v>-68.2</v>
      </c>
      <c r="G85" s="91">
        <f>F36-G36</f>
        <v>15.426494931917091</v>
      </c>
      <c r="H85" s="91">
        <f t="shared" ref="H85:K85" si="44">G36-H36</f>
        <v>-13.368856190388954</v>
      </c>
      <c r="I85" s="91">
        <f t="shared" si="44"/>
        <v>-13.976823618602964</v>
      </c>
      <c r="J85" s="91">
        <f t="shared" si="44"/>
        <v>-14.612439215703318</v>
      </c>
      <c r="K85" s="91">
        <f t="shared" si="44"/>
        <v>-15.276960320829005</v>
      </c>
    </row>
    <row r="86" spans="1:12" x14ac:dyDescent="0.15">
      <c r="B86" s="20" t="s">
        <v>27</v>
      </c>
      <c r="D86" s="24">
        <v>202.3</v>
      </c>
      <c r="E86" s="24">
        <v>-234.2</v>
      </c>
      <c r="F86" s="100">
        <v>38.799999999999997</v>
      </c>
      <c r="G86" s="91">
        <f>F37-G37</f>
        <v>-84.225332034576354</v>
      </c>
      <c r="H86" s="91">
        <f t="shared" ref="H86:K86" si="45">G37-H37</f>
        <v>-47.710441410072008</v>
      </c>
      <c r="I86" s="91">
        <f t="shared" si="45"/>
        <v>-49.880140444151493</v>
      </c>
      <c r="J86" s="91">
        <f t="shared" si="45"/>
        <v>-52.148509575580192</v>
      </c>
      <c r="K86" s="91">
        <f t="shared" si="45"/>
        <v>-54.520035964999579</v>
      </c>
    </row>
    <row r="87" spans="1:12" x14ac:dyDescent="0.15">
      <c r="B87" s="20" t="s">
        <v>28</v>
      </c>
      <c r="D87" s="24">
        <v>-5.2</v>
      </c>
      <c r="E87" s="24">
        <v>-7.5</v>
      </c>
      <c r="F87" s="100">
        <v>28.5</v>
      </c>
      <c r="G87" s="91">
        <f>F38-G38</f>
        <v>10.81140580276967</v>
      </c>
      <c r="H87" s="91">
        <f t="shared" ref="H87:K87" si="46">G38-H38</f>
        <v>-5.3747915779045314</v>
      </c>
      <c r="I87" s="91">
        <f t="shared" si="46"/>
        <v>-5.619217740193136</v>
      </c>
      <c r="J87" s="91">
        <f t="shared" si="46"/>
        <v>-5.8747595239798045</v>
      </c>
      <c r="K87" s="91">
        <f t="shared" si="46"/>
        <v>-6.1419224276946238</v>
      </c>
    </row>
    <row r="88" spans="1:12" x14ac:dyDescent="0.15">
      <c r="B88" s="21" t="s">
        <v>61</v>
      </c>
      <c r="D88" s="25">
        <v>-5</v>
      </c>
      <c r="E88" s="25">
        <v>158.69999999999999</v>
      </c>
      <c r="F88" s="99">
        <v>45.1</v>
      </c>
      <c r="G88" s="92">
        <f>SUM(G49:G51)-SUM(F49:F51)</f>
        <v>10.875706736014649</v>
      </c>
      <c r="H88" s="92">
        <f t="shared" ref="H88:K88" si="47">SUM(H49:H51)-SUM(G49:G51)</f>
        <v>40.077245004472616</v>
      </c>
      <c r="I88" s="92">
        <f t="shared" si="47"/>
        <v>41.899813758917617</v>
      </c>
      <c r="J88" s="92">
        <f t="shared" si="47"/>
        <v>43.805266375871497</v>
      </c>
      <c r="K88" s="92">
        <f t="shared" si="47"/>
        <v>45.797372114873724</v>
      </c>
    </row>
    <row r="89" spans="1:12" x14ac:dyDescent="0.15">
      <c r="B89" s="22" t="s">
        <v>62</v>
      </c>
      <c r="D89" s="24">
        <f>SUM(D79:D88)</f>
        <v>651.89999999999986</v>
      </c>
      <c r="E89" s="24">
        <f t="shared" ref="E89:G89" si="48">SUM(E79:E88)</f>
        <v>352.5</v>
      </c>
      <c r="F89" s="100">
        <f>SUM(F79:F88)</f>
        <v>362.90000000000009</v>
      </c>
      <c r="G89" s="24">
        <f t="shared" ca="1" si="48"/>
        <v>406.55673110675741</v>
      </c>
      <c r="H89" s="24">
        <f t="shared" ref="H89" ca="1" si="49">SUM(H79:H88)</f>
        <v>444.95331060142428</v>
      </c>
      <c r="I89" s="24">
        <f t="shared" ref="I89" ca="1" si="50">SUM(I79:I88)</f>
        <v>460.65920383939169</v>
      </c>
      <c r="J89" s="24">
        <f t="shared" ref="J89" ca="1" si="51">SUM(J79:J88)</f>
        <v>477.47862892960245</v>
      </c>
      <c r="K89" s="24">
        <f t="shared" ref="K89" ca="1" si="52">SUM(K79:K88)</f>
        <v>495.47457375410022</v>
      </c>
    </row>
    <row r="90" spans="1:12" ht="5.0999999999999996" customHeight="1" x14ac:dyDescent="0.15">
      <c r="F90" s="103"/>
      <c r="G90" s="91"/>
      <c r="H90" s="91"/>
      <c r="I90" s="91"/>
      <c r="J90" s="91"/>
      <c r="K90" s="91"/>
    </row>
    <row r="91" spans="1:12" x14ac:dyDescent="0.15">
      <c r="B91" s="18" t="s">
        <v>63</v>
      </c>
      <c r="D91" s="24"/>
      <c r="E91" s="24"/>
      <c r="F91" s="100"/>
      <c r="G91" s="91"/>
      <c r="H91" s="91"/>
      <c r="I91" s="91"/>
      <c r="J91" s="91"/>
      <c r="K91" s="91"/>
    </row>
    <row r="92" spans="1:12" x14ac:dyDescent="0.15">
      <c r="B92" s="16" t="s">
        <v>64</v>
      </c>
      <c r="D92" s="24">
        <v>-189.6</v>
      </c>
      <c r="E92" s="24">
        <v>-229.4</v>
      </c>
      <c r="F92" s="100">
        <v>-170.7</v>
      </c>
      <c r="G92" s="91">
        <f>-Assumptions!G23*Model!G7</f>
        <v>-215.62236140035688</v>
      </c>
      <c r="H92" s="91">
        <f>-Assumptions!H23*Model!H7</f>
        <v>-225.42808977824535</v>
      </c>
      <c r="I92" s="91">
        <f>-Assumptions!I23*Model!I7</f>
        <v>-235.67974736494344</v>
      </c>
      <c r="J92" s="91">
        <f>-Assumptions!J23*Model!J7</f>
        <v>-246.39761341474076</v>
      </c>
      <c r="K92" s="91">
        <f>-Assumptions!K23*Model!K7</f>
        <v>-257.60288940937107</v>
      </c>
    </row>
    <row r="93" spans="1:12" x14ac:dyDescent="0.15">
      <c r="A93" s="86"/>
      <c r="B93" s="87" t="s">
        <v>65</v>
      </c>
      <c r="C93" s="86"/>
      <c r="D93" s="31">
        <v>2</v>
      </c>
      <c r="E93" s="31">
        <v>2.5</v>
      </c>
      <c r="F93" s="104">
        <v>226</v>
      </c>
      <c r="G93" s="94">
        <v>0</v>
      </c>
      <c r="H93" s="94">
        <v>0</v>
      </c>
      <c r="I93" s="94">
        <v>0</v>
      </c>
      <c r="J93" s="94">
        <v>0</v>
      </c>
      <c r="K93" s="94">
        <v>0</v>
      </c>
      <c r="L93" s="86"/>
    </row>
    <row r="94" spans="1:12" x14ac:dyDescent="0.15">
      <c r="A94" s="86"/>
      <c r="B94" s="87" t="s">
        <v>66</v>
      </c>
      <c r="C94" s="86"/>
      <c r="D94" s="31">
        <v>4.7</v>
      </c>
      <c r="E94" s="31">
        <v>0</v>
      </c>
      <c r="F94" s="104">
        <v>0</v>
      </c>
      <c r="G94" s="94">
        <v>0</v>
      </c>
      <c r="H94" s="94">
        <v>0</v>
      </c>
      <c r="I94" s="94">
        <v>0</v>
      </c>
      <c r="J94" s="94">
        <v>0</v>
      </c>
      <c r="K94" s="94">
        <v>0</v>
      </c>
      <c r="L94" s="86"/>
    </row>
    <row r="95" spans="1:12" x14ac:dyDescent="0.15">
      <c r="A95" s="86"/>
      <c r="B95" s="87" t="s">
        <v>67</v>
      </c>
      <c r="C95" s="86"/>
      <c r="D95" s="31">
        <v>0</v>
      </c>
      <c r="E95" s="31">
        <v>-59.1</v>
      </c>
      <c r="F95" s="104">
        <v>0</v>
      </c>
      <c r="G95" s="94">
        <v>0</v>
      </c>
      <c r="H95" s="94">
        <v>0</v>
      </c>
      <c r="I95" s="94">
        <v>0</v>
      </c>
      <c r="J95" s="94">
        <v>0</v>
      </c>
      <c r="K95" s="94">
        <v>0</v>
      </c>
      <c r="L95" s="86"/>
    </row>
    <row r="96" spans="1:12" x14ac:dyDescent="0.15">
      <c r="B96" s="16" t="s">
        <v>68</v>
      </c>
      <c r="D96" s="25">
        <v>-6</v>
      </c>
      <c r="E96" s="25">
        <v>-4.2</v>
      </c>
      <c r="F96" s="99">
        <v>-16</v>
      </c>
      <c r="G96" s="92">
        <f>-Assumptions!G24</f>
        <v>-8.7333333333333325</v>
      </c>
      <c r="H96" s="92">
        <f>-Assumptions!H24</f>
        <v>-8.7333333333333325</v>
      </c>
      <c r="I96" s="92">
        <f>-Assumptions!I24</f>
        <v>-8.7333333333333325</v>
      </c>
      <c r="J96" s="92">
        <f>-Assumptions!J24</f>
        <v>-8.7333333333333325</v>
      </c>
      <c r="K96" s="92">
        <f>-Assumptions!K24</f>
        <v>-8.7333333333333325</v>
      </c>
    </row>
    <row r="97" spans="2:11" x14ac:dyDescent="0.15">
      <c r="B97" s="20" t="s">
        <v>69</v>
      </c>
      <c r="D97" s="24">
        <f>SUM(D92:D96)</f>
        <v>-188.9</v>
      </c>
      <c r="E97" s="24">
        <f t="shared" ref="E97:G97" si="53">SUM(E92:E96)</f>
        <v>-290.2</v>
      </c>
      <c r="F97" s="100">
        <f>SUM(F92:F96)</f>
        <v>39.300000000000011</v>
      </c>
      <c r="G97" s="24">
        <f t="shared" si="53"/>
        <v>-224.3556947336902</v>
      </c>
      <c r="H97" s="24">
        <f t="shared" ref="H97" si="54">SUM(H92:H96)</f>
        <v>-234.16142311157867</v>
      </c>
      <c r="I97" s="24">
        <f t="shared" ref="I97" si="55">SUM(I92:I96)</f>
        <v>-244.41308069827676</v>
      </c>
      <c r="J97" s="24">
        <f t="shared" ref="J97" si="56">SUM(J92:J96)</f>
        <v>-255.13094674807408</v>
      </c>
      <c r="K97" s="24">
        <f t="shared" ref="K97" si="57">SUM(K92:K96)</f>
        <v>-266.33622274270442</v>
      </c>
    </row>
    <row r="98" spans="2:11" ht="5.0999999999999996" customHeight="1" x14ac:dyDescent="0.15">
      <c r="D98" s="24"/>
      <c r="E98" s="24"/>
      <c r="F98" s="100"/>
      <c r="G98" s="91"/>
      <c r="H98" s="91"/>
      <c r="I98" s="91"/>
      <c r="J98" s="91"/>
      <c r="K98" s="91"/>
    </row>
    <row r="99" spans="2:11" x14ac:dyDescent="0.15">
      <c r="B99" s="18" t="s">
        <v>70</v>
      </c>
      <c r="D99" s="24"/>
      <c r="E99" s="24"/>
      <c r="F99" s="100"/>
      <c r="G99" s="91"/>
      <c r="H99" s="91"/>
      <c r="I99" s="91"/>
      <c r="J99" s="91"/>
      <c r="K99" s="91"/>
    </row>
    <row r="100" spans="2:11" x14ac:dyDescent="0.15">
      <c r="B100" s="16" t="s">
        <v>71</v>
      </c>
      <c r="D100" s="24">
        <v>-286.2</v>
      </c>
      <c r="E100" s="24">
        <v>-251.1</v>
      </c>
      <c r="F100" s="100">
        <v>-625.79999999999995</v>
      </c>
      <c r="G100" s="91">
        <f>-Assumptions!G25</f>
        <v>-387.7</v>
      </c>
      <c r="H100" s="91">
        <f>-Assumptions!H25</f>
        <v>-387.7</v>
      </c>
      <c r="I100" s="91">
        <f>-Assumptions!I25</f>
        <v>-387.7</v>
      </c>
      <c r="J100" s="91">
        <f>-Assumptions!J25</f>
        <v>-387.7</v>
      </c>
      <c r="K100" s="91">
        <f>-Assumptions!K25</f>
        <v>-387.7</v>
      </c>
    </row>
    <row r="101" spans="2:11" x14ac:dyDescent="0.15">
      <c r="B101" s="16" t="s">
        <v>72</v>
      </c>
      <c r="D101" s="24">
        <v>35.799999999999997</v>
      </c>
      <c r="E101" s="24">
        <v>35.4</v>
      </c>
      <c r="F101" s="100">
        <v>30.1</v>
      </c>
      <c r="G101" s="91">
        <f>Assumptions!G26</f>
        <v>33.766666666666659</v>
      </c>
      <c r="H101" s="91">
        <f>Assumptions!H26</f>
        <v>33.766666666666659</v>
      </c>
      <c r="I101" s="91">
        <f>Assumptions!I26</f>
        <v>33.766666666666659</v>
      </c>
      <c r="J101" s="91">
        <f>Assumptions!J26</f>
        <v>33.766666666666659</v>
      </c>
      <c r="K101" s="91">
        <f>Assumptions!K26</f>
        <v>33.766666666666659</v>
      </c>
    </row>
    <row r="102" spans="2:11" x14ac:dyDescent="0.15">
      <c r="B102" s="16" t="s">
        <v>73</v>
      </c>
      <c r="D102" s="24">
        <v>15.7</v>
      </c>
      <c r="E102" s="24">
        <v>50.4</v>
      </c>
      <c r="F102" s="100">
        <v>17.399999999999999</v>
      </c>
      <c r="G102" s="91">
        <f>Assumptions!G27</f>
        <v>27.833333333333332</v>
      </c>
      <c r="H102" s="91">
        <f>Assumptions!H27</f>
        <v>27.833333333333332</v>
      </c>
      <c r="I102" s="91">
        <f>Assumptions!I27</f>
        <v>27.833333333333332</v>
      </c>
      <c r="J102" s="91">
        <f>Assumptions!J27</f>
        <v>27.833333333333332</v>
      </c>
      <c r="K102" s="91">
        <f>Assumptions!K27</f>
        <v>27.833333333333332</v>
      </c>
    </row>
    <row r="103" spans="2:11" x14ac:dyDescent="0.15">
      <c r="B103" s="16" t="s">
        <v>74</v>
      </c>
      <c r="D103" s="24">
        <v>-40.799999999999997</v>
      </c>
      <c r="E103" s="24">
        <v>-39.700000000000003</v>
      </c>
      <c r="F103" s="100">
        <v>-33.700000000000003</v>
      </c>
      <c r="G103" s="91">
        <f ca="1">-Assumptions!G28*Model!G28</f>
        <v>-42.934285111397834</v>
      </c>
      <c r="H103" s="91">
        <f ca="1">-Assumptions!H28*Model!H28</f>
        <v>-44.510015572443244</v>
      </c>
      <c r="I103" s="91">
        <f ca="1">-Assumptions!I28*Model!I28</f>
        <v>-45.959541350508118</v>
      </c>
      <c r="J103" s="91">
        <f ca="1">-Assumptions!J28*Model!J28</f>
        <v>-47.525646869283953</v>
      </c>
      <c r="K103" s="91">
        <f ca="1">-Assumptions!K28*Model!K28</f>
        <v>-49.215200507730437</v>
      </c>
    </row>
    <row r="104" spans="2:11" x14ac:dyDescent="0.15">
      <c r="B104" s="16" t="s">
        <v>75</v>
      </c>
      <c r="D104" s="24">
        <v>20.7</v>
      </c>
      <c r="E104" s="24">
        <v>-14</v>
      </c>
      <c r="F104" s="100">
        <v>-4</v>
      </c>
      <c r="G104" s="91">
        <f ca="1">G117</f>
        <v>-37.166751261669447</v>
      </c>
      <c r="H104" s="91">
        <f t="shared" ref="H104:K104" ca="1" si="58">H117</f>
        <v>159.81812808259767</v>
      </c>
      <c r="I104" s="91">
        <f t="shared" ca="1" si="58"/>
        <v>155.81341820939321</v>
      </c>
      <c r="J104" s="91">
        <f t="shared" ca="1" si="58"/>
        <v>151.2779646877556</v>
      </c>
      <c r="K104" s="91">
        <f t="shared" ca="1" si="58"/>
        <v>146.17684949633468</v>
      </c>
    </row>
    <row r="105" spans="2:11" x14ac:dyDescent="0.15">
      <c r="B105" s="16" t="s">
        <v>76</v>
      </c>
      <c r="D105" s="25">
        <v>-20</v>
      </c>
      <c r="E105" s="25">
        <v>-40.1</v>
      </c>
      <c r="F105" s="99">
        <v>-0.1</v>
      </c>
      <c r="G105" s="92">
        <f>G124</f>
        <v>0</v>
      </c>
      <c r="H105" s="92">
        <f t="shared" ref="H105:K105" si="59">H124</f>
        <v>0</v>
      </c>
      <c r="I105" s="92">
        <f t="shared" si="59"/>
        <v>0</v>
      </c>
      <c r="J105" s="92">
        <f t="shared" si="59"/>
        <v>0</v>
      </c>
      <c r="K105" s="92">
        <f t="shared" si="59"/>
        <v>0</v>
      </c>
    </row>
    <row r="106" spans="2:11" x14ac:dyDescent="0.15">
      <c r="B106" s="20" t="s">
        <v>77</v>
      </c>
      <c r="D106" s="25">
        <f>SUM(D100:D105)</f>
        <v>-274.8</v>
      </c>
      <c r="E106" s="25">
        <f t="shared" ref="E106:G106" si="60">SUM(E100:E105)</f>
        <v>-259.10000000000002</v>
      </c>
      <c r="F106" s="99">
        <f>SUM(F100:F105)</f>
        <v>-616.1</v>
      </c>
      <c r="G106" s="25">
        <f t="shared" ca="1" si="60"/>
        <v>-406.20103637306732</v>
      </c>
      <c r="H106" s="25">
        <f t="shared" ref="H106" ca="1" si="61">SUM(H100:H105)</f>
        <v>-210.79188748984561</v>
      </c>
      <c r="I106" s="25">
        <f t="shared" ref="I106" ca="1" si="62">SUM(I100:I105)</f>
        <v>-216.24612314111494</v>
      </c>
      <c r="J106" s="25">
        <f t="shared" ref="J106" ca="1" si="63">SUM(J100:J105)</f>
        <v>-222.34768218152837</v>
      </c>
      <c r="K106" s="25">
        <f t="shared" ref="K106" ca="1" si="64">SUM(K100:K105)</f>
        <v>-229.1383510113958</v>
      </c>
    </row>
    <row r="107" spans="2:11" ht="5.0999999999999996" customHeight="1" x14ac:dyDescent="0.15">
      <c r="D107" s="24"/>
      <c r="E107" s="24"/>
      <c r="F107" s="100"/>
      <c r="G107" s="24"/>
      <c r="H107" s="24"/>
      <c r="I107" s="24"/>
      <c r="J107" s="24"/>
      <c r="K107" s="24"/>
    </row>
    <row r="108" spans="2:11" x14ac:dyDescent="0.15">
      <c r="B108" s="18" t="s">
        <v>78</v>
      </c>
      <c r="D108" s="24">
        <f>D106+D97+D89</f>
        <v>188.19999999999982</v>
      </c>
      <c r="E108" s="24">
        <f>E106+E97+E89</f>
        <v>-196.79999999999995</v>
      </c>
      <c r="F108" s="100">
        <f>F106+F97+F89</f>
        <v>-213.89999999999986</v>
      </c>
      <c r="G108" s="24">
        <f ca="1">G106+G97+G89</f>
        <v>-224.00000000000011</v>
      </c>
      <c r="H108" s="24">
        <f t="shared" ref="H108:K108" ca="1" si="65">H106+H97+H89</f>
        <v>0</v>
      </c>
      <c r="I108" s="24">
        <f t="shared" ca="1" si="65"/>
        <v>0</v>
      </c>
      <c r="J108" s="24">
        <f t="shared" ca="1" si="65"/>
        <v>0</v>
      </c>
      <c r="K108" s="24">
        <f t="shared" ca="1" si="65"/>
        <v>0</v>
      </c>
    </row>
    <row r="109" spans="2:11" x14ac:dyDescent="0.15">
      <c r="B109" s="23" t="s">
        <v>79</v>
      </c>
      <c r="D109" s="25">
        <v>446.5</v>
      </c>
      <c r="E109" s="25">
        <v>634.70000000000005</v>
      </c>
      <c r="F109" s="99">
        <v>437.9</v>
      </c>
      <c r="G109" s="25">
        <f>F110</f>
        <v>224.00000000000011</v>
      </c>
      <c r="H109" s="25">
        <f t="shared" ref="H109:K109" ca="1" si="66">G110</f>
        <v>0</v>
      </c>
      <c r="I109" s="25">
        <f t="shared" ca="1" si="66"/>
        <v>0</v>
      </c>
      <c r="J109" s="25">
        <f t="shared" ca="1" si="66"/>
        <v>0</v>
      </c>
      <c r="K109" s="25">
        <f t="shared" ca="1" si="66"/>
        <v>0</v>
      </c>
    </row>
    <row r="110" spans="2:11" x14ac:dyDescent="0.15">
      <c r="B110" s="23" t="s">
        <v>80</v>
      </c>
      <c r="D110" s="15">
        <f>D108+D109</f>
        <v>634.69999999999982</v>
      </c>
      <c r="E110" s="15">
        <f t="shared" ref="E110:G110" si="67">E108+E109</f>
        <v>437.90000000000009</v>
      </c>
      <c r="F110" s="101">
        <f>F108+F109</f>
        <v>224.00000000000011</v>
      </c>
      <c r="G110" s="15">
        <f ca="1">G108+G109</f>
        <v>0</v>
      </c>
      <c r="H110" s="15">
        <f t="shared" ref="H110:K110" ca="1" si="68">H108+H109</f>
        <v>0</v>
      </c>
      <c r="I110" s="15">
        <f t="shared" ca="1" si="68"/>
        <v>0</v>
      </c>
      <c r="J110" s="15">
        <f t="shared" ca="1" si="68"/>
        <v>0</v>
      </c>
      <c r="K110" s="15">
        <f t="shared" ca="1" si="68"/>
        <v>0</v>
      </c>
    </row>
    <row r="111" spans="2:11" x14ac:dyDescent="0.15">
      <c r="F111" s="103"/>
      <c r="G111" s="89"/>
      <c r="H111" s="89"/>
      <c r="I111" s="89"/>
      <c r="J111" s="89"/>
      <c r="K111" s="89"/>
    </row>
    <row r="112" spans="2:11" s="4" customFormat="1" x14ac:dyDescent="0.15">
      <c r="B112" s="4" t="s">
        <v>112</v>
      </c>
      <c r="F112" s="105"/>
      <c r="G112" s="95">
        <f ca="1">G89+G97+SUM(G100:G103)+G109+G105</f>
        <v>37.166751261669447</v>
      </c>
      <c r="H112" s="95">
        <f t="shared" ref="H112:K112" ca="1" si="69">H89+H97+SUM(H100:H103)+H109+H105</f>
        <v>-159.81812808259767</v>
      </c>
      <c r="I112" s="95">
        <f t="shared" ca="1" si="69"/>
        <v>-155.81341820939321</v>
      </c>
      <c r="J112" s="95">
        <f t="shared" ca="1" si="69"/>
        <v>-151.2779646877556</v>
      </c>
      <c r="K112" s="95">
        <f t="shared" ca="1" si="69"/>
        <v>-146.17684949633468</v>
      </c>
    </row>
    <row r="113" spans="2:11" x14ac:dyDescent="0.15">
      <c r="F113" s="103"/>
      <c r="G113" s="89"/>
      <c r="H113" s="89"/>
      <c r="I113" s="89"/>
      <c r="J113" s="89"/>
      <c r="K113" s="89"/>
    </row>
    <row r="114" spans="2:11" x14ac:dyDescent="0.15">
      <c r="B114" s="12" t="s">
        <v>98</v>
      </c>
      <c r="F114" s="103"/>
      <c r="G114" s="89"/>
      <c r="H114" s="89"/>
      <c r="I114" s="89"/>
      <c r="J114" s="89"/>
      <c r="K114" s="89"/>
    </row>
    <row r="115" spans="2:11" x14ac:dyDescent="0.15">
      <c r="B115" s="17" t="s">
        <v>108</v>
      </c>
      <c r="F115" s="103"/>
      <c r="G115" s="89"/>
      <c r="H115" s="89"/>
      <c r="I115" s="89"/>
      <c r="J115" s="89"/>
      <c r="K115" s="89"/>
    </row>
    <row r="116" spans="2:11" x14ac:dyDescent="0.15">
      <c r="B116" s="1" t="s">
        <v>109</v>
      </c>
      <c r="F116" s="101"/>
      <c r="G116" s="90">
        <f>F48</f>
        <v>40.9</v>
      </c>
      <c r="H116" s="90">
        <f t="shared" ref="H116:K116" ca="1" si="70">G48</f>
        <v>3.7332487383305519</v>
      </c>
      <c r="I116" s="90">
        <f t="shared" ca="1" si="70"/>
        <v>163.55137682092823</v>
      </c>
      <c r="J116" s="90">
        <f t="shared" ca="1" si="70"/>
        <v>319.36479503032143</v>
      </c>
      <c r="K116" s="90">
        <f t="shared" ca="1" si="70"/>
        <v>470.64275971807706</v>
      </c>
    </row>
    <row r="117" spans="2:11" x14ac:dyDescent="0.15">
      <c r="B117" s="1" t="s">
        <v>99</v>
      </c>
      <c r="F117" s="101"/>
      <c r="G117" s="92">
        <f ca="1">-MIN(G116,G112)</f>
        <v>-37.166751261669447</v>
      </c>
      <c r="H117" s="92">
        <f t="shared" ref="H117:K117" ca="1" si="71">-MIN(H116,H112)</f>
        <v>159.81812808259767</v>
      </c>
      <c r="I117" s="92">
        <f t="shared" ca="1" si="71"/>
        <v>155.81341820939321</v>
      </c>
      <c r="J117" s="92">
        <f t="shared" ca="1" si="71"/>
        <v>151.2779646877556</v>
      </c>
      <c r="K117" s="92">
        <f t="shared" ca="1" si="71"/>
        <v>146.17684949633468</v>
      </c>
    </row>
    <row r="118" spans="2:11" x14ac:dyDescent="0.15">
      <c r="B118" s="1" t="s">
        <v>110</v>
      </c>
      <c r="D118" s="15"/>
      <c r="E118" s="15"/>
      <c r="F118" s="101"/>
      <c r="G118" s="90">
        <f ca="1">G116+G117</f>
        <v>3.7332487383305519</v>
      </c>
      <c r="H118" s="90">
        <f t="shared" ref="H118:K118" ca="1" si="72">H116+H117</f>
        <v>163.55137682092823</v>
      </c>
      <c r="I118" s="90">
        <f t="shared" ca="1" si="72"/>
        <v>319.36479503032143</v>
      </c>
      <c r="J118" s="90">
        <f t="shared" ca="1" si="72"/>
        <v>470.64275971807706</v>
      </c>
      <c r="K118" s="90">
        <f t="shared" ca="1" si="72"/>
        <v>616.81960921441168</v>
      </c>
    </row>
    <row r="119" spans="2:11" x14ac:dyDescent="0.15">
      <c r="B119" s="1" t="s">
        <v>100</v>
      </c>
      <c r="F119" s="103"/>
      <c r="G119" s="96">
        <f>Assumptions!G31</f>
        <v>0.05</v>
      </c>
      <c r="H119" s="96">
        <f>Assumptions!H31</f>
        <v>0.05</v>
      </c>
      <c r="I119" s="96">
        <f>Assumptions!I31</f>
        <v>0.05</v>
      </c>
      <c r="J119" s="96">
        <f>Assumptions!J31</f>
        <v>0.05</v>
      </c>
      <c r="K119" s="96">
        <f>Assumptions!K31</f>
        <v>0.05</v>
      </c>
    </row>
    <row r="120" spans="2:11" x14ac:dyDescent="0.15">
      <c r="B120" s="1" t="s">
        <v>101</v>
      </c>
      <c r="F120" s="103"/>
      <c r="G120" s="90">
        <f ca="1">G119*AVERAGE(G116,G118)</f>
        <v>1.1158312184582637</v>
      </c>
      <c r="H120" s="90">
        <f t="shared" ref="H120:K120" ca="1" si="73">H119*AVERAGE(H116,H118)</f>
        <v>4.18211563898147</v>
      </c>
      <c r="I120" s="90">
        <f t="shared" ca="1" si="73"/>
        <v>12.072904296281243</v>
      </c>
      <c r="J120" s="90">
        <f t="shared" ca="1" si="73"/>
        <v>19.750188868709962</v>
      </c>
      <c r="K120" s="90">
        <f t="shared" ca="1" si="73"/>
        <v>27.186559223312219</v>
      </c>
    </row>
    <row r="121" spans="2:11" ht="5.0999999999999996" customHeight="1" x14ac:dyDescent="0.15">
      <c r="F121" s="103"/>
      <c r="G121" s="89"/>
      <c r="H121" s="89"/>
      <c r="I121" s="89"/>
      <c r="J121" s="89"/>
      <c r="K121" s="89"/>
    </row>
    <row r="122" spans="2:11" x14ac:dyDescent="0.15">
      <c r="B122" s="17" t="s">
        <v>40</v>
      </c>
      <c r="F122" s="103"/>
      <c r="G122" s="89"/>
      <c r="H122" s="89"/>
      <c r="I122" s="89"/>
      <c r="J122" s="89"/>
      <c r="K122" s="89"/>
    </row>
    <row r="123" spans="2:11" x14ac:dyDescent="0.15">
      <c r="B123" s="1" t="s">
        <v>109</v>
      </c>
      <c r="F123" s="103"/>
      <c r="G123" s="91">
        <f>F55</f>
        <v>494.9</v>
      </c>
      <c r="H123" s="91">
        <f t="shared" ref="H123:K123" si="74">G55</f>
        <v>494.9</v>
      </c>
      <c r="I123" s="91">
        <f t="shared" si="74"/>
        <v>494.9</v>
      </c>
      <c r="J123" s="91">
        <f t="shared" si="74"/>
        <v>494.9</v>
      </c>
      <c r="K123" s="91">
        <f t="shared" si="74"/>
        <v>494.9</v>
      </c>
    </row>
    <row r="124" spans="2:11" x14ac:dyDescent="0.15">
      <c r="B124" s="1" t="s">
        <v>99</v>
      </c>
      <c r="F124" s="103"/>
      <c r="G124" s="92">
        <f>-Assumptions!G33</f>
        <v>0</v>
      </c>
      <c r="H124" s="92">
        <f>-Assumptions!H33</f>
        <v>0</v>
      </c>
      <c r="I124" s="92">
        <f>-Assumptions!I33</f>
        <v>0</v>
      </c>
      <c r="J124" s="92">
        <f>-Assumptions!J33</f>
        <v>0</v>
      </c>
      <c r="K124" s="92">
        <f>-Assumptions!K33</f>
        <v>0</v>
      </c>
    </row>
    <row r="125" spans="2:11" x14ac:dyDescent="0.15">
      <c r="B125" s="1" t="s">
        <v>110</v>
      </c>
      <c r="F125" s="103"/>
      <c r="G125" s="91">
        <f>G123+G124</f>
        <v>494.9</v>
      </c>
      <c r="H125" s="91">
        <f t="shared" ref="H125:K125" si="75">H123+H124</f>
        <v>494.9</v>
      </c>
      <c r="I125" s="91">
        <f t="shared" si="75"/>
        <v>494.9</v>
      </c>
      <c r="J125" s="91">
        <f t="shared" si="75"/>
        <v>494.9</v>
      </c>
      <c r="K125" s="91">
        <f t="shared" si="75"/>
        <v>494.9</v>
      </c>
    </row>
    <row r="126" spans="2:11" x14ac:dyDescent="0.15">
      <c r="B126" s="1" t="s">
        <v>100</v>
      </c>
      <c r="F126" s="103"/>
      <c r="G126" s="96">
        <f>Assumptions!G32</f>
        <v>7.0000000000000007E-2</v>
      </c>
      <c r="H126" s="96">
        <f>Assumptions!H32</f>
        <v>7.0000000000000007E-2</v>
      </c>
      <c r="I126" s="96">
        <f>Assumptions!I32</f>
        <v>7.0000000000000007E-2</v>
      </c>
      <c r="J126" s="96">
        <f>Assumptions!J32</f>
        <v>7.0000000000000007E-2</v>
      </c>
      <c r="K126" s="96">
        <f>Assumptions!K32</f>
        <v>7.0000000000000007E-2</v>
      </c>
    </row>
    <row r="127" spans="2:11" x14ac:dyDescent="0.15">
      <c r="B127" s="1" t="s">
        <v>101</v>
      </c>
      <c r="F127" s="103"/>
      <c r="G127" s="90">
        <f>G126*AVERAGE(G123,G125)</f>
        <v>34.643000000000001</v>
      </c>
      <c r="H127" s="90">
        <f t="shared" ref="H127:K127" si="76">H126*AVERAGE(H123,H125)</f>
        <v>34.643000000000001</v>
      </c>
      <c r="I127" s="90">
        <f t="shared" si="76"/>
        <v>34.643000000000001</v>
      </c>
      <c r="J127" s="90">
        <f t="shared" si="76"/>
        <v>34.643000000000001</v>
      </c>
      <c r="K127" s="90">
        <f t="shared" si="76"/>
        <v>34.643000000000001</v>
      </c>
    </row>
    <row r="128" spans="2:11" ht="5.0999999999999996" customHeight="1" x14ac:dyDescent="0.15">
      <c r="F128" s="103"/>
      <c r="G128" s="89"/>
      <c r="H128" s="89"/>
      <c r="I128" s="89"/>
      <c r="J128" s="89"/>
      <c r="K128" s="89"/>
    </row>
    <row r="129" spans="2:11" x14ac:dyDescent="0.15">
      <c r="B129" s="1" t="s">
        <v>102</v>
      </c>
      <c r="F129" s="103"/>
      <c r="G129" s="90">
        <f t="shared" ref="G129" ca="1" si="77">G127+G120</f>
        <v>35.758831218458262</v>
      </c>
      <c r="H129" s="90">
        <f t="shared" ref="H129:K129" ca="1" si="78">H127+H120</f>
        <v>38.825115638981472</v>
      </c>
      <c r="I129" s="90">
        <f t="shared" ca="1" si="78"/>
        <v>46.715904296281245</v>
      </c>
      <c r="J129" s="90">
        <f t="shared" ca="1" si="78"/>
        <v>54.393188868709963</v>
      </c>
      <c r="K129" s="90">
        <f t="shared" ca="1" si="78"/>
        <v>61.829559223312216</v>
      </c>
    </row>
    <row r="130" spans="2:11" ht="5.0999999999999996" customHeight="1" x14ac:dyDescent="0.15">
      <c r="F130" s="103"/>
      <c r="G130" s="89"/>
      <c r="H130" s="89"/>
      <c r="I130" s="89"/>
      <c r="J130" s="89"/>
      <c r="K130" s="89"/>
    </row>
    <row r="131" spans="2:11" x14ac:dyDescent="0.15">
      <c r="B131" s="32" t="s">
        <v>103</v>
      </c>
      <c r="F131" s="103"/>
      <c r="G131" s="91">
        <f ca="1">Assumptions!G34*AVERAGE(Model!G109:G110)</f>
        <v>2.3431005228463873</v>
      </c>
      <c r="H131" s="91">
        <f ca="1">Assumptions!H34*AVERAGE(Model!H109:H110)</f>
        <v>0</v>
      </c>
      <c r="I131" s="91">
        <f ca="1">Assumptions!I34*AVERAGE(Model!I109:I110)</f>
        <v>0</v>
      </c>
      <c r="J131" s="91">
        <f ca="1">Assumptions!J34*AVERAGE(Model!J109:J110)</f>
        <v>0</v>
      </c>
      <c r="K131" s="91">
        <f ca="1">Assumptions!K34*AVERAGE(Model!K109:K110)</f>
        <v>0</v>
      </c>
    </row>
    <row r="132" spans="2:11" x14ac:dyDescent="0.15">
      <c r="F132" s="103"/>
      <c r="G132" s="89"/>
      <c r="H132" s="89"/>
      <c r="I132" s="89"/>
      <c r="J132" s="89"/>
      <c r="K132" s="89"/>
    </row>
    <row r="133" spans="2:11" x14ac:dyDescent="0.15">
      <c r="F133" s="103"/>
      <c r="G133" s="89"/>
      <c r="H133" s="89"/>
      <c r="I133" s="89"/>
      <c r="J133" s="89"/>
      <c r="K133" s="89"/>
    </row>
    <row r="134" spans="2:11" x14ac:dyDescent="0.15">
      <c r="G134" s="89"/>
      <c r="H134" s="89"/>
      <c r="I134" s="89"/>
      <c r="J134" s="89"/>
      <c r="K134" s="89"/>
    </row>
    <row r="135" spans="2:11" x14ac:dyDescent="0.15">
      <c r="G135" s="89"/>
      <c r="H135" s="89"/>
      <c r="I135" s="89"/>
      <c r="J135" s="89"/>
      <c r="K135" s="89"/>
    </row>
    <row r="136" spans="2:11" x14ac:dyDescent="0.15">
      <c r="G136" s="89"/>
      <c r="H136" s="89"/>
      <c r="I136" s="89"/>
      <c r="J136" s="89"/>
      <c r="K136" s="89"/>
    </row>
    <row r="137" spans="2:11" x14ac:dyDescent="0.15">
      <c r="G137" s="89"/>
      <c r="H137" s="89"/>
      <c r="I137" s="89"/>
      <c r="J137" s="89"/>
      <c r="K137" s="89"/>
    </row>
    <row r="138" spans="2:11" x14ac:dyDescent="0.15">
      <c r="G138" s="89"/>
      <c r="H138" s="89"/>
      <c r="I138" s="89"/>
      <c r="J138" s="89"/>
      <c r="K138" s="89"/>
    </row>
    <row r="139" spans="2:11" x14ac:dyDescent="0.15">
      <c r="G139" s="89"/>
      <c r="H139" s="89"/>
      <c r="I139" s="89"/>
      <c r="J139" s="89"/>
      <c r="K139" s="89"/>
    </row>
    <row r="140" spans="2:11" x14ac:dyDescent="0.15">
      <c r="G140" s="89"/>
      <c r="H140" s="89"/>
      <c r="I140" s="89"/>
      <c r="J140" s="89"/>
      <c r="K140" s="89"/>
    </row>
    <row r="141" spans="2:11" x14ac:dyDescent="0.15">
      <c r="G141" s="89"/>
      <c r="H141" s="89"/>
      <c r="I141" s="89"/>
      <c r="J141" s="89"/>
      <c r="K141" s="89"/>
    </row>
    <row r="142" spans="2:11" x14ac:dyDescent="0.15">
      <c r="G142" s="89"/>
      <c r="H142" s="89"/>
      <c r="I142" s="89"/>
      <c r="J142" s="89"/>
      <c r="K142" s="89"/>
    </row>
    <row r="143" spans="2:11" x14ac:dyDescent="0.15">
      <c r="G143" s="89"/>
      <c r="H143" s="89"/>
      <c r="I143" s="89"/>
      <c r="J143" s="89"/>
      <c r="K143" s="89"/>
    </row>
    <row r="144" spans="2:11" x14ac:dyDescent="0.15">
      <c r="G144" s="89"/>
      <c r="H144" s="89"/>
      <c r="I144" s="89"/>
      <c r="J144" s="89"/>
      <c r="K144" s="89"/>
    </row>
    <row r="145" spans="7:11" x14ac:dyDescent="0.15">
      <c r="G145" s="89"/>
      <c r="H145" s="89"/>
      <c r="I145" s="89"/>
      <c r="J145" s="89"/>
      <c r="K145" s="89"/>
    </row>
    <row r="146" spans="7:11" x14ac:dyDescent="0.15">
      <c r="G146" s="89"/>
      <c r="H146" s="89"/>
      <c r="I146" s="89"/>
      <c r="J146" s="89"/>
      <c r="K146" s="89"/>
    </row>
    <row r="147" spans="7:11" x14ac:dyDescent="0.15">
      <c r="G147" s="89"/>
      <c r="H147" s="89"/>
      <c r="I147" s="89"/>
      <c r="J147" s="89"/>
      <c r="K147" s="89"/>
    </row>
    <row r="148" spans="7:11" x14ac:dyDescent="0.15">
      <c r="G148" s="89"/>
      <c r="H148" s="89"/>
      <c r="I148" s="89"/>
      <c r="J148" s="89"/>
      <c r="K148" s="89"/>
    </row>
    <row r="149" spans="7:11" x14ac:dyDescent="0.15">
      <c r="G149" s="89"/>
      <c r="H149" s="89"/>
      <c r="I149" s="89"/>
      <c r="J149" s="89"/>
      <c r="K149" s="89"/>
    </row>
    <row r="150" spans="7:11" x14ac:dyDescent="0.15">
      <c r="G150" s="89"/>
      <c r="H150" s="89"/>
      <c r="I150" s="89"/>
      <c r="J150" s="89"/>
      <c r="K150" s="89"/>
    </row>
    <row r="151" spans="7:11" x14ac:dyDescent="0.15">
      <c r="G151" s="89"/>
      <c r="H151" s="89"/>
      <c r="I151" s="89"/>
      <c r="J151" s="89"/>
      <c r="K151" s="89"/>
    </row>
    <row r="152" spans="7:11" x14ac:dyDescent="0.15">
      <c r="G152" s="89"/>
      <c r="H152" s="89"/>
      <c r="I152" s="89"/>
      <c r="J152" s="89"/>
      <c r="K152" s="89"/>
    </row>
    <row r="153" spans="7:11" x14ac:dyDescent="0.15">
      <c r="G153" s="89"/>
      <c r="H153" s="89"/>
      <c r="I153" s="89"/>
      <c r="J153" s="89"/>
      <c r="K153" s="89"/>
    </row>
    <row r="154" spans="7:11" x14ac:dyDescent="0.15">
      <c r="G154" s="89"/>
      <c r="H154" s="89"/>
      <c r="I154" s="89"/>
      <c r="J154" s="89"/>
      <c r="K154" s="89"/>
    </row>
    <row r="155" spans="7:11" x14ac:dyDescent="0.15">
      <c r="G155" s="89"/>
      <c r="H155" s="89"/>
      <c r="I155" s="89"/>
      <c r="J155" s="89"/>
      <c r="K155" s="89"/>
    </row>
    <row r="156" spans="7:11" x14ac:dyDescent="0.15">
      <c r="G156" s="89"/>
      <c r="H156" s="89"/>
      <c r="I156" s="89"/>
      <c r="J156" s="89"/>
      <c r="K156" s="89"/>
    </row>
    <row r="157" spans="7:11" x14ac:dyDescent="0.15">
      <c r="G157" s="89"/>
      <c r="H157" s="89"/>
      <c r="I157" s="89"/>
      <c r="J157" s="89"/>
      <c r="K157" s="89"/>
    </row>
    <row r="158" spans="7:11" x14ac:dyDescent="0.15">
      <c r="G158" s="89"/>
      <c r="H158" s="89"/>
      <c r="I158" s="89"/>
      <c r="J158" s="89"/>
      <c r="K158" s="89"/>
    </row>
  </sheetData>
  <mergeCells count="2">
    <mergeCell ref="D3:F3"/>
    <mergeCell ref="D4:F4"/>
  </mergeCells>
  <phoneticPr fontId="8" type="noConversion"/>
  <pageMargins left="0.75" right="0.75" top="1" bottom="1" header="0.5" footer="0.5"/>
  <pageSetup orientation="portrait" horizontalDpi="300" verticalDpi="300" r:id="rId1"/>
  <headerFooter alignWithMargins="0"/>
  <ignoredErrors>
    <ignoredError sqref="G8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35"/>
  <sheetViews>
    <sheetView showGridLines="0" topLeftCell="A6" zoomScale="80" zoomScaleNormal="80" workbookViewId="0">
      <selection activeCell="D25" sqref="D25"/>
    </sheetView>
  </sheetViews>
  <sheetFormatPr defaultColWidth="9.16796875" defaultRowHeight="13.5" x14ac:dyDescent="0.15"/>
  <cols>
    <col min="1" max="1" width="1.75" style="1" customWidth="1"/>
    <col min="2" max="2" width="38.16015625" style="1" bestFit="1" customWidth="1"/>
    <col min="3" max="3" width="1.75" style="1" customWidth="1"/>
    <col min="4" max="5" width="8.359375" style="32" bestFit="1" customWidth="1"/>
    <col min="6" max="10" width="9.4375" style="32" bestFit="1" customWidth="1"/>
    <col min="11" max="11" width="1.75" style="32" customWidth="1"/>
    <col min="12" max="12" width="18.7421875" style="1" bestFit="1" customWidth="1"/>
    <col min="13" max="13" width="9.4375" style="1" bestFit="1" customWidth="1"/>
    <col min="14" max="14" width="1.75" style="1" customWidth="1"/>
    <col min="15" max="15" width="17.93359375" style="1" bestFit="1" customWidth="1"/>
    <col min="16" max="16384" width="9.16796875" style="1"/>
  </cols>
  <sheetData>
    <row r="1" spans="2:17" ht="14.25" x14ac:dyDescent="0.15">
      <c r="B1" s="2" t="s">
        <v>115</v>
      </c>
      <c r="C1" s="3"/>
    </row>
    <row r="2" spans="2:17" x14ac:dyDescent="0.15">
      <c r="B2" s="29" t="s">
        <v>138</v>
      </c>
    </row>
    <row r="3" spans="2:17" x14ac:dyDescent="0.15">
      <c r="B3" s="4"/>
      <c r="D3" s="33"/>
      <c r="E3" s="33"/>
      <c r="F3" s="33"/>
      <c r="G3" s="33"/>
      <c r="H3" s="33"/>
      <c r="I3" s="33"/>
      <c r="J3" s="33"/>
    </row>
    <row r="4" spans="2:17" x14ac:dyDescent="0.15">
      <c r="B4" s="4" t="s">
        <v>2</v>
      </c>
      <c r="D4" s="33"/>
      <c r="E4" s="33"/>
      <c r="F4" s="33"/>
      <c r="G4" s="33"/>
      <c r="H4" s="33"/>
      <c r="I4" s="33"/>
      <c r="J4" s="33"/>
    </row>
    <row r="5" spans="2:17" x14ac:dyDescent="0.15">
      <c r="D5" s="34"/>
      <c r="E5" s="34"/>
      <c r="F5" s="36" t="s">
        <v>116</v>
      </c>
      <c r="G5" s="35"/>
      <c r="H5" s="35"/>
      <c r="I5" s="35"/>
      <c r="J5" s="35"/>
    </row>
    <row r="6" spans="2:17" x14ac:dyDescent="0.15">
      <c r="F6" s="38">
        <f>Model!G5</f>
        <v>2006</v>
      </c>
      <c r="G6" s="38">
        <f>Model!H5</f>
        <v>2007</v>
      </c>
      <c r="H6" s="38">
        <f>Model!I5</f>
        <v>2008</v>
      </c>
      <c r="I6" s="38">
        <f>Model!J5</f>
        <v>2009</v>
      </c>
      <c r="J6" s="38">
        <f>Model!K5</f>
        <v>2010</v>
      </c>
      <c r="L6" s="44" t="s">
        <v>129</v>
      </c>
      <c r="M6" s="45"/>
    </row>
    <row r="7" spans="2:17" x14ac:dyDescent="0.15">
      <c r="L7" s="46"/>
      <c r="M7" s="47"/>
    </row>
    <row r="8" spans="2:17" x14ac:dyDescent="0.15">
      <c r="B8" s="1" t="s">
        <v>9</v>
      </c>
      <c r="F8" s="41">
        <f>Model!G7</f>
        <v>5312.7974129691229</v>
      </c>
      <c r="G8" s="41">
        <f>Model!H7</f>
        <v>5554.4043039241606</v>
      </c>
      <c r="H8" s="41">
        <f>Model!I7</f>
        <v>5806.9986060713627</v>
      </c>
      <c r="I8" s="41">
        <f>Model!J7</f>
        <v>6071.0799872978023</v>
      </c>
      <c r="J8" s="41">
        <f>Model!K7</f>
        <v>6347.1708385863749</v>
      </c>
      <c r="L8" s="46"/>
      <c r="M8" s="47"/>
    </row>
    <row r="9" spans="2:17" ht="5.0999999999999996" customHeight="1" x14ac:dyDescent="0.15">
      <c r="F9" s="41"/>
      <c r="G9" s="41"/>
      <c r="H9" s="41"/>
      <c r="I9" s="41"/>
      <c r="J9" s="41"/>
      <c r="L9" s="46"/>
      <c r="M9" s="47"/>
    </row>
    <row r="10" spans="2:17" x14ac:dyDescent="0.15">
      <c r="B10" s="1" t="s">
        <v>130</v>
      </c>
      <c r="F10" s="39">
        <f>Model!G9-Model!G12</f>
        <v>625.68779059615986</v>
      </c>
      <c r="G10" s="39">
        <f>Model!H9-Model!H12</f>
        <v>654.1418177392693</v>
      </c>
      <c r="H10" s="39">
        <f>Model!I9-Model!I12</f>
        <v>683.88983155245478</v>
      </c>
      <c r="I10" s="39">
        <f>Model!J9-Model!J12</f>
        <v>714.99067788885077</v>
      </c>
      <c r="J10" s="39">
        <f>Model!K9-Model!K12</f>
        <v>747.50587869904257</v>
      </c>
      <c r="L10" s="46"/>
      <c r="M10" s="47"/>
      <c r="O10" s="73" t="s">
        <v>137</v>
      </c>
      <c r="P10" s="69"/>
      <c r="Q10" s="70"/>
    </row>
    <row r="11" spans="2:17" ht="5.0999999999999996" customHeight="1" x14ac:dyDescent="0.15">
      <c r="F11" s="39"/>
      <c r="G11" s="39"/>
      <c r="H11" s="39"/>
      <c r="I11" s="39"/>
      <c r="J11" s="39"/>
      <c r="L11" s="46"/>
      <c r="M11" s="47"/>
      <c r="O11" s="85"/>
      <c r="P11" s="32"/>
      <c r="Q11" s="47"/>
    </row>
    <row r="12" spans="2:17" x14ac:dyDescent="0.15">
      <c r="B12" s="1" t="s">
        <v>117</v>
      </c>
      <c r="F12" s="39">
        <f>Model!G16</f>
        <v>510.4088149801114</v>
      </c>
      <c r="G12" s="39">
        <f>Model!H16</f>
        <v>533.62036951865957</v>
      </c>
      <c r="H12" s="39">
        <f>Model!I16</f>
        <v>557.88750195532248</v>
      </c>
      <c r="I12" s="39">
        <f>Model!J16</f>
        <v>583.25821617097563</v>
      </c>
      <c r="J12" s="39">
        <f>Model!K16</f>
        <v>609.78269909009623</v>
      </c>
      <c r="L12" s="46"/>
      <c r="M12" s="47"/>
      <c r="O12" s="46" t="s">
        <v>119</v>
      </c>
      <c r="P12" s="32"/>
      <c r="Q12" s="57">
        <v>0.4</v>
      </c>
    </row>
    <row r="13" spans="2:17" x14ac:dyDescent="0.15">
      <c r="B13" s="1" t="s">
        <v>118</v>
      </c>
      <c r="F13" s="42">
        <f>$Q$12*F12</f>
        <v>204.16352599204458</v>
      </c>
      <c r="G13" s="42">
        <f t="shared" ref="G13:J13" si="0">$Q$12*G12</f>
        <v>213.44814780746384</v>
      </c>
      <c r="H13" s="42">
        <f t="shared" si="0"/>
        <v>223.15500078212901</v>
      </c>
      <c r="I13" s="42">
        <f t="shared" si="0"/>
        <v>233.30328646839027</v>
      </c>
      <c r="J13" s="42">
        <f t="shared" si="0"/>
        <v>243.9130796360385</v>
      </c>
      <c r="L13" s="46"/>
      <c r="M13" s="47"/>
      <c r="O13" s="46" t="s">
        <v>113</v>
      </c>
      <c r="P13" s="32"/>
      <c r="Q13" s="57">
        <v>0.12</v>
      </c>
    </row>
    <row r="14" spans="2:17" x14ac:dyDescent="0.15">
      <c r="B14" s="1" t="s">
        <v>120</v>
      </c>
      <c r="F14" s="39">
        <f>F12-F13</f>
        <v>306.24528898806682</v>
      </c>
      <c r="G14" s="39">
        <f t="shared" ref="G14:J14" si="1">G12-G13</f>
        <v>320.17222171119573</v>
      </c>
      <c r="H14" s="39">
        <f t="shared" si="1"/>
        <v>334.73250117319344</v>
      </c>
      <c r="I14" s="39">
        <f t="shared" si="1"/>
        <v>349.95492970258533</v>
      </c>
      <c r="J14" s="39">
        <f t="shared" si="1"/>
        <v>365.86961945405773</v>
      </c>
      <c r="L14" s="46"/>
      <c r="M14" s="47"/>
      <c r="O14" s="46" t="s">
        <v>114</v>
      </c>
      <c r="P14" s="32"/>
      <c r="Q14" s="71">
        <v>7</v>
      </c>
    </row>
    <row r="15" spans="2:17" x14ac:dyDescent="0.15">
      <c r="B15" s="1" t="s">
        <v>121</v>
      </c>
      <c r="F15" s="39">
        <f>Model!G92</f>
        <v>-215.62236140035688</v>
      </c>
      <c r="G15" s="39">
        <f>Model!H92</f>
        <v>-225.42808977824535</v>
      </c>
      <c r="H15" s="39">
        <f>Model!I92</f>
        <v>-235.67974736494344</v>
      </c>
      <c r="I15" s="39">
        <f>Model!J92</f>
        <v>-246.39761341474076</v>
      </c>
      <c r="J15" s="39">
        <f>Model!K92</f>
        <v>-257.60288940937107</v>
      </c>
      <c r="L15" s="46"/>
      <c r="M15" s="47"/>
      <c r="O15" s="52" t="s">
        <v>127</v>
      </c>
      <c r="P15" s="3"/>
      <c r="Q15" s="72">
        <v>38717</v>
      </c>
    </row>
    <row r="16" spans="2:17" x14ac:dyDescent="0.15">
      <c r="B16" s="1" t="s">
        <v>122</v>
      </c>
      <c r="F16" s="39">
        <f>SUM(Model!G85:G88)</f>
        <v>-47.111724563874944</v>
      </c>
      <c r="G16" s="39">
        <f>SUM(Model!H85:H88)</f>
        <v>-26.376844173892877</v>
      </c>
      <c r="H16" s="39">
        <f>SUM(Model!I85:I88)</f>
        <v>-27.576368044029977</v>
      </c>
      <c r="I16" s="39">
        <f>SUM(Model!J85:J88)</f>
        <v>-28.830441939391818</v>
      </c>
      <c r="J16" s="39">
        <f>SUM(Model!K85:K88)</f>
        <v>-30.141546598649484</v>
      </c>
      <c r="L16" s="46" t="s">
        <v>131</v>
      </c>
      <c r="M16" s="48">
        <f>J10</f>
        <v>747.50587869904257</v>
      </c>
    </row>
    <row r="17" spans="2:13" x14ac:dyDescent="0.15">
      <c r="B17" s="1" t="s">
        <v>123</v>
      </c>
      <c r="F17" s="42">
        <f>Model!G13</f>
        <v>115.27897561604829</v>
      </c>
      <c r="G17" s="42">
        <f>Model!H13</f>
        <v>120.52144822060964</v>
      </c>
      <c r="H17" s="42">
        <f>Model!I13</f>
        <v>126.00232959713226</v>
      </c>
      <c r="I17" s="42">
        <f>Model!J13</f>
        <v>131.73246171787534</v>
      </c>
      <c r="J17" s="42">
        <f>Model!K13</f>
        <v>137.72317960894625</v>
      </c>
      <c r="L17" s="46" t="s">
        <v>114</v>
      </c>
      <c r="M17" s="49">
        <f>Q14</f>
        <v>7</v>
      </c>
    </row>
    <row r="18" spans="2:13" x14ac:dyDescent="0.15">
      <c r="B18" s="18" t="s">
        <v>124</v>
      </c>
      <c r="C18" s="18"/>
      <c r="D18" s="37"/>
      <c r="E18" s="37"/>
      <c r="F18" s="43">
        <f>SUM(F14:F17)</f>
        <v>158.79017863988327</v>
      </c>
      <c r="G18" s="43">
        <f t="shared" ref="G18:J18" si="2">SUM(G14:G17)</f>
        <v>188.88873597966716</v>
      </c>
      <c r="H18" s="43">
        <f t="shared" si="2"/>
        <v>197.47871536135227</v>
      </c>
      <c r="I18" s="43">
        <f t="shared" si="2"/>
        <v>206.45933606632809</v>
      </c>
      <c r="J18" s="43">
        <f t="shared" si="2"/>
        <v>215.84836305498342</v>
      </c>
      <c r="L18" s="46" t="s">
        <v>132</v>
      </c>
      <c r="M18" s="50">
        <f>M16*M17</f>
        <v>5232.5411508932975</v>
      </c>
    </row>
    <row r="19" spans="2:13" ht="5.0999999999999996" customHeight="1" x14ac:dyDescent="0.15">
      <c r="L19" s="46"/>
      <c r="M19" s="47"/>
    </row>
    <row r="20" spans="2:13" x14ac:dyDescent="0.15">
      <c r="B20" s="1" t="s">
        <v>125</v>
      </c>
      <c r="F20" s="88">
        <v>1</v>
      </c>
      <c r="G20" s="40">
        <f>F20+1</f>
        <v>2</v>
      </c>
      <c r="H20" s="40">
        <f t="shared" ref="H20:J20" si="3">G20+1</f>
        <v>3</v>
      </c>
      <c r="I20" s="40">
        <f t="shared" si="3"/>
        <v>4</v>
      </c>
      <c r="J20" s="40">
        <f t="shared" si="3"/>
        <v>5</v>
      </c>
      <c r="L20" s="46" t="str">
        <f>B20</f>
        <v>Discount period</v>
      </c>
      <c r="M20" s="51">
        <f>J20</f>
        <v>5</v>
      </c>
    </row>
    <row r="21" spans="2:13" x14ac:dyDescent="0.15">
      <c r="B21" s="1" t="s">
        <v>126</v>
      </c>
      <c r="F21" s="40">
        <f>1/((1+$Q$13)^F20)</f>
        <v>0.89285714285714279</v>
      </c>
      <c r="G21" s="40">
        <f t="shared" ref="G21:J21" si="4">1/((1+$Q$13)^G20)</f>
        <v>0.79719387755102034</v>
      </c>
      <c r="H21" s="40">
        <f t="shared" si="4"/>
        <v>0.71178024781341087</v>
      </c>
      <c r="I21" s="40">
        <f t="shared" si="4"/>
        <v>0.63551807840483121</v>
      </c>
      <c r="J21" s="40">
        <f t="shared" si="4"/>
        <v>0.56742685571859919</v>
      </c>
      <c r="L21" s="46" t="str">
        <f>B21</f>
        <v>Discount factor</v>
      </c>
      <c r="M21" s="51">
        <f>J21</f>
        <v>0.56742685571859919</v>
      </c>
    </row>
    <row r="22" spans="2:13" ht="5.0999999999999996" customHeight="1" x14ac:dyDescent="0.15">
      <c r="L22" s="46"/>
      <c r="M22" s="47"/>
    </row>
    <row r="23" spans="2:13" x14ac:dyDescent="0.15">
      <c r="B23" s="1" t="s">
        <v>128</v>
      </c>
      <c r="F23" s="43">
        <f>F18*F21</f>
        <v>141.77694521418147</v>
      </c>
      <c r="G23" s="43">
        <f t="shared" ref="G23:J23" si="5">G18*G21</f>
        <v>150.58094386134178</v>
      </c>
      <c r="H23" s="43">
        <f t="shared" si="5"/>
        <v>140.56144895777734</v>
      </c>
      <c r="I23" s="43">
        <f t="shared" si="5"/>
        <v>131.20864052561009</v>
      </c>
      <c r="J23" s="43">
        <f t="shared" si="5"/>
        <v>122.47815796029589</v>
      </c>
      <c r="L23" s="52" t="s">
        <v>133</v>
      </c>
      <c r="M23" s="53">
        <f>M18*M21</f>
        <v>2969.0843726695639</v>
      </c>
    </row>
    <row r="25" spans="2:13" x14ac:dyDescent="0.15">
      <c r="B25" s="56" t="s">
        <v>134</v>
      </c>
      <c r="C25" s="54"/>
      <c r="D25" s="55">
        <f>SUM(F23:J23,M23)</f>
        <v>3655.6905091887706</v>
      </c>
    </row>
    <row r="28" spans="2:13" x14ac:dyDescent="0.15">
      <c r="B28" s="12" t="s">
        <v>135</v>
      </c>
    </row>
    <row r="29" spans="2:13" x14ac:dyDescent="0.15">
      <c r="F29" s="58" t="s">
        <v>114</v>
      </c>
      <c r="G29" s="59"/>
      <c r="H29" s="59"/>
      <c r="I29" s="59"/>
      <c r="J29" s="45"/>
    </row>
    <row r="30" spans="2:13" x14ac:dyDescent="0.15">
      <c r="D30" s="39"/>
      <c r="E30" s="68">
        <f>D25</f>
        <v>3655.6905091887706</v>
      </c>
      <c r="F30" s="60">
        <f>G30-0.5</f>
        <v>6</v>
      </c>
      <c r="G30" s="61">
        <f>H30-0.5</f>
        <v>6.5</v>
      </c>
      <c r="H30" s="62">
        <v>7</v>
      </c>
      <c r="I30" s="61">
        <f>H30+0.5</f>
        <v>7.5</v>
      </c>
      <c r="J30" s="63">
        <f>I30+0.5</f>
        <v>8</v>
      </c>
    </row>
    <row r="31" spans="2:13" x14ac:dyDescent="0.15">
      <c r="D31" s="120" t="s">
        <v>136</v>
      </c>
      <c r="E31" s="64">
        <f>E32-1%</f>
        <v>0.1</v>
      </c>
      <c r="F31" s="74">
        <f t="dataTable" ref="F31:J35" dt2D="1" dtr="1" r1="Q14" r2="Q13"/>
        <v>3508.7231738052074</v>
      </c>
      <c r="G31" s="75">
        <v>3740.79434340336</v>
      </c>
      <c r="H31" s="75">
        <v>3972.8655130015127</v>
      </c>
      <c r="I31" s="75">
        <v>4204.9366825996658</v>
      </c>
      <c r="J31" s="76">
        <v>4437.0078521978185</v>
      </c>
    </row>
    <row r="32" spans="2:13" x14ac:dyDescent="0.15">
      <c r="D32" s="121"/>
      <c r="E32" s="65">
        <f>E33-1%</f>
        <v>0.11</v>
      </c>
      <c r="F32" s="77">
        <v>3366.502081117409</v>
      </c>
      <c r="G32" s="82">
        <v>3588.3062593401728</v>
      </c>
      <c r="H32" s="83">
        <v>3810.1104375629357</v>
      </c>
      <c r="I32" s="84">
        <v>4031.9146157856994</v>
      </c>
      <c r="J32" s="78">
        <v>4253.7187940084623</v>
      </c>
    </row>
    <row r="33" spans="4:10" x14ac:dyDescent="0.15">
      <c r="D33" s="121"/>
      <c r="E33" s="66">
        <v>0.12</v>
      </c>
      <c r="F33" s="77">
        <v>3231.5355988074048</v>
      </c>
      <c r="G33" s="77">
        <v>3443.6130539980882</v>
      </c>
      <c r="H33" s="39">
        <v>3655.6905091887706</v>
      </c>
      <c r="I33" s="78">
        <v>3867.767964379454</v>
      </c>
      <c r="J33" s="78">
        <v>4079.8454195701374</v>
      </c>
    </row>
    <row r="34" spans="4:10" x14ac:dyDescent="0.15">
      <c r="D34" s="121"/>
      <c r="E34" s="65">
        <f>E33+1%</f>
        <v>0.13</v>
      </c>
      <c r="F34" s="77">
        <v>3103.3892031413798</v>
      </c>
      <c r="G34" s="79">
        <v>3306.2473245823321</v>
      </c>
      <c r="H34" s="80">
        <v>3509.1054460232835</v>
      </c>
      <c r="I34" s="81">
        <v>3711.9635674642359</v>
      </c>
      <c r="J34" s="78">
        <v>3914.8216889051882</v>
      </c>
    </row>
    <row r="35" spans="4:10" x14ac:dyDescent="0.15">
      <c r="D35" s="122"/>
      <c r="E35" s="67">
        <f>E34+1%</f>
        <v>0.14000000000000001</v>
      </c>
      <c r="F35" s="79">
        <v>2981.6580430552208</v>
      </c>
      <c r="G35" s="80">
        <v>3175.7736079657366</v>
      </c>
      <c r="H35" s="80">
        <v>3369.8891728762524</v>
      </c>
      <c r="I35" s="80">
        <v>3564.0047377867681</v>
      </c>
      <c r="J35" s="81">
        <v>3758.1203026972844</v>
      </c>
    </row>
  </sheetData>
  <mergeCells count="1">
    <mergeCell ref="D31:D35"/>
  </mergeCells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Assumptions</vt:lpstr>
      <vt:lpstr>Model</vt:lpstr>
      <vt:lpstr>DCF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IBI</dc:creator>
  <cp:lastModifiedBy>Benard Kioko</cp:lastModifiedBy>
  <dcterms:created xsi:type="dcterms:W3CDTF">2007-05-05T23:30:40Z</dcterms:created>
  <dcterms:modified xsi:type="dcterms:W3CDTF">2020-11-24T20:55:29Z</dcterms:modified>
</cp:coreProperties>
</file>